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nps.School\staffdata$\SBM\Desktop\2025-26 Budget Documents\FGB\"/>
    </mc:Choice>
  </mc:AlternateContent>
  <xr:revisionPtr revIDLastSave="0" documentId="8_{CF85F58F-F446-4450-9F7E-BF2020713479}" xr6:coauthVersionLast="36" xr6:coauthVersionMax="36" xr10:uidLastSave="{00000000-0000-0000-0000-000000000000}"/>
  <bookViews>
    <workbookView xWindow="28680" yWindow="-120" windowWidth="29040" windowHeight="15840" firstSheet="1" activeTab="6" xr2:uid="{00000000-000D-0000-FFFF-FFFF00000000}"/>
  </bookViews>
  <sheets>
    <sheet name="Introduction" sheetId="9" r:id="rId1"/>
    <sheet name="Current Year Outturn" sheetId="26" r:id="rId2"/>
    <sheet name="School &amp; Other Info" sheetId="14" r:id="rId3"/>
    <sheet name="Budget Plan Year 1" sheetId="7" r:id="rId4"/>
    <sheet name="Budget Plan Year 2" sheetId="25" r:id="rId5"/>
    <sheet name="Budget Plan Year 3" sheetId="28" r:id="rId6"/>
    <sheet name="3 Year Summary" sheetId="24" r:id="rId7"/>
    <sheet name="School's assumptions" sheetId="30" r:id="rId8"/>
    <sheet name="Notes" sheetId="12" r:id="rId9"/>
    <sheet name="Tranche Calculation" sheetId="13" r:id="rId10"/>
    <sheet name="setups" sheetId="21" state="hidden" r:id="rId11"/>
    <sheet name="lookups" sheetId="8" state="hidden" r:id="rId12"/>
  </sheets>
  <definedNames>
    <definedName name="_xlnm._FilterDatabase" localSheetId="11" hidden="1">lookups!$A$3:$J$275</definedName>
    <definedName name="CFR_Yr1">'Budget Plan Year 1'!$B$8:$B$237</definedName>
    <definedName name="CFR_Yr2">'Budget Plan Year 2'!$B$8:$B$231</definedName>
    <definedName name="CFR_Yr3">'Budget Plan Year 3'!$B$8:$B$231</definedName>
    <definedName name="Exp_Yr1">'Budget Plan Year 1'!$I$8:$I$237</definedName>
    <definedName name="Exp_Yr2">'Budget Plan Year 2'!$E$8:$E$231</definedName>
    <definedName name="Exp_Yr3">'Budget Plan Year 3'!$E$8:$E$231</definedName>
    <definedName name="FINSUPP">setups!$B$28:$B$29</definedName>
    <definedName name="Pay_Type">lookups!$B$367:$B$379</definedName>
    <definedName name="Post_type">lookups!$B$382:$B$393</definedName>
    <definedName name="_xlnm.Print_Area" localSheetId="6">'3 Year Summary'!$A$1:$L$130</definedName>
    <definedName name="_xlnm.Print_Area" localSheetId="3">'Budget Plan Year 1'!$A$2:$K$251</definedName>
    <definedName name="_xlnm.Print_Area" localSheetId="4">'Budget Plan Year 2'!$B$1:$G$231</definedName>
    <definedName name="_xlnm.Print_Area" localSheetId="5">'Budget Plan Year 3'!$A$2:$F$233</definedName>
    <definedName name="_xlnm.Print_Area" localSheetId="0">Introduction!$B$1:$R$44</definedName>
    <definedName name="_xlnm.Print_Area" localSheetId="8">Notes!$B$6:$D$138</definedName>
    <definedName name="_xlnm.Print_Area" localSheetId="2">'School &amp; Other Info'!$A$1:$T$51</definedName>
    <definedName name="_xlnm.Print_Area" localSheetId="7">'School''s assumptions'!$A$1:$E$50</definedName>
    <definedName name="_xlnm.Print_Titles" localSheetId="6">'3 Year Summary'!$5:$5</definedName>
    <definedName name="_xlnm.Print_Titles" localSheetId="8">Notes!$6:$6</definedName>
    <definedName name="Sav_Date">setups!$K$4:$K$39</definedName>
    <definedName name="sch">lookups!$B$4:$E$352</definedName>
    <definedName name="Title">lookups!$B$356:$B$364</definedName>
    <definedName name="Yr1_Percent">'Budget Plan Year 1'!$B$8:$K$234</definedName>
    <definedName name="Yr2_Percent">'Budget Plan Year 2'!$B$8:$G$228</definedName>
    <definedName name="Yr3_Percent">'Budget Plan Year 3'!$B$8:$G$228</definedName>
  </definedNames>
  <calcPr calcId="191029"/>
</workbook>
</file>

<file path=xl/calcChain.xml><?xml version="1.0" encoding="utf-8"?>
<calcChain xmlns="http://schemas.openxmlformats.org/spreadsheetml/2006/main">
  <c r="G226" i="7" l="1"/>
  <c r="G126" i="7"/>
  <c r="E10" i="7"/>
  <c r="E31" i="28" l="1"/>
  <c r="E31" i="25"/>
  <c r="I27" i="7"/>
  <c r="A118" i="7"/>
  <c r="A119" i="7" s="1"/>
  <c r="A120" i="7" s="1"/>
  <c r="A121" i="7" s="1"/>
  <c r="A122" i="7" s="1"/>
  <c r="A123" i="7" s="1"/>
  <c r="A124" i="7" s="1"/>
  <c r="A125" i="7" s="1"/>
  <c r="A126" i="7" s="1"/>
  <c r="A117" i="7"/>
  <c r="A116" i="7"/>
  <c r="A108" i="7"/>
  <c r="A109" i="7"/>
  <c r="A110" i="7" s="1"/>
  <c r="A111" i="7" s="1"/>
  <c r="A112" i="7" s="1"/>
  <c r="A107" i="7"/>
  <c r="A106" i="7"/>
  <c r="A94" i="7"/>
  <c r="A95" i="7" s="1"/>
  <c r="A96" i="7" s="1"/>
  <c r="A97" i="7" s="1"/>
  <c r="A98" i="7" s="1"/>
  <c r="A99" i="7" s="1"/>
  <c r="A100" i="7" s="1"/>
  <c r="A101" i="7" s="1"/>
  <c r="A102" i="7" s="1"/>
  <c r="A93" i="7"/>
  <c r="A92" i="7"/>
  <c r="I17" i="7"/>
  <c r="L50" i="14"/>
  <c r="L49" i="14"/>
  <c r="L48" i="14"/>
  <c r="F47" i="14"/>
  <c r="J40" i="9" l="1"/>
  <c r="E48" i="28"/>
  <c r="E48" i="25"/>
  <c r="G49" i="7" l="1"/>
  <c r="E49" i="7"/>
  <c r="Q49" i="7"/>
  <c r="Q48" i="7"/>
  <c r="I48" i="7"/>
  <c r="Q47" i="7"/>
  <c r="I47" i="7"/>
  <c r="L40" i="9"/>
  <c r="I49" i="7" l="1"/>
  <c r="K40" i="9"/>
  <c r="K26" i="28"/>
  <c r="L26" i="28" s="1"/>
  <c r="K25" i="28"/>
  <c r="L25" i="28" s="1"/>
  <c r="L24" i="28"/>
  <c r="K26" i="25"/>
  <c r="L26" i="25" s="1"/>
  <c r="K25" i="25"/>
  <c r="L25" i="25" s="1"/>
  <c r="L14" i="25"/>
  <c r="K15" i="25"/>
  <c r="L15" i="25" s="1"/>
  <c r="L16" i="25"/>
  <c r="L19" i="25"/>
  <c r="L20" i="25"/>
  <c r="L21" i="25"/>
  <c r="L22" i="25"/>
  <c r="L23" i="25"/>
  <c r="L24" i="25"/>
  <c r="L30" i="25"/>
  <c r="L14" i="28"/>
  <c r="K15" i="28"/>
  <c r="L15" i="28" s="1"/>
  <c r="L16" i="28"/>
  <c r="L19" i="28"/>
  <c r="L20" i="28"/>
  <c r="L21" i="28"/>
  <c r="L22" i="28"/>
  <c r="L23" i="28"/>
  <c r="L30" i="28"/>
  <c r="P26" i="7"/>
  <c r="P25" i="7"/>
  <c r="B7" i="9" l="1"/>
  <c r="I83" i="7" l="1"/>
  <c r="L45" i="14" l="1"/>
  <c r="E43" i="28" l="1"/>
  <c r="E43" i="25"/>
  <c r="E1" i="12"/>
  <c r="I29" i="7"/>
  <c r="E32" i="7" l="1"/>
  <c r="L23" i="14" l="1"/>
  <c r="Y23" i="14" s="1"/>
  <c r="I30" i="7" l="1"/>
  <c r="I28" i="7"/>
  <c r="I82" i="7" l="1"/>
  <c r="K39" i="21" l="1"/>
  <c r="K38" i="21"/>
  <c r="K37" i="21"/>
  <c r="K27" i="21"/>
  <c r="K26" i="21"/>
  <c r="K25" i="21"/>
  <c r="K15" i="21"/>
  <c r="K14" i="21"/>
  <c r="K13" i="21"/>
  <c r="K36" i="21" l="1"/>
  <c r="K35" i="21"/>
  <c r="K34" i="21"/>
  <c r="K33" i="21"/>
  <c r="K32" i="21"/>
  <c r="K31" i="21"/>
  <c r="K30" i="21"/>
  <c r="K29" i="21"/>
  <c r="K28" i="21"/>
  <c r="K24" i="21"/>
  <c r="D24" i="21"/>
  <c r="K23" i="21"/>
  <c r="K22" i="21"/>
  <c r="K21" i="21"/>
  <c r="K20" i="21"/>
  <c r="K19" i="21"/>
  <c r="K18" i="21"/>
  <c r="K17" i="21"/>
  <c r="K16" i="21"/>
  <c r="F4" i="21"/>
  <c r="K12" i="21"/>
  <c r="K11" i="21"/>
  <c r="K10" i="21"/>
  <c r="K9" i="21"/>
  <c r="K8" i="21"/>
  <c r="K7" i="21"/>
  <c r="K6" i="21"/>
  <c r="K5" i="21"/>
  <c r="K4" i="21"/>
  <c r="G4" i="21" l="1"/>
  <c r="E215" i="28" l="1"/>
  <c r="E215" i="25"/>
  <c r="G220" i="7" l="1"/>
  <c r="D6" i="21" l="1"/>
  <c r="F4" i="14" l="1"/>
  <c r="G70" i="7" l="1"/>
  <c r="F127" i="28" l="1"/>
  <c r="K128" i="24"/>
  <c r="H128" i="24"/>
  <c r="K77" i="24"/>
  <c r="H77" i="24"/>
  <c r="K120" i="24" l="1"/>
  <c r="K119" i="24"/>
  <c r="K118" i="24"/>
  <c r="K117" i="24"/>
  <c r="K113" i="24"/>
  <c r="K112" i="24"/>
  <c r="K111" i="24"/>
  <c r="K95" i="24"/>
  <c r="K94" i="24"/>
  <c r="K90" i="24"/>
  <c r="K89" i="24"/>
  <c r="K67" i="24"/>
  <c r="K66" i="24"/>
  <c r="K65" i="24"/>
  <c r="K64" i="24"/>
  <c r="K63" i="24"/>
  <c r="K62" i="24"/>
  <c r="K61" i="24"/>
  <c r="K60" i="24"/>
  <c r="K59" i="24"/>
  <c r="K58" i="24"/>
  <c r="K57" i="24"/>
  <c r="K53" i="24"/>
  <c r="K52" i="24"/>
  <c r="K51" i="24"/>
  <c r="K50" i="24"/>
  <c r="K49" i="24"/>
  <c r="K48" i="24"/>
  <c r="K47" i="24"/>
  <c r="K43" i="24"/>
  <c r="K42" i="24"/>
  <c r="K41" i="24"/>
  <c r="K40" i="24"/>
  <c r="K39" i="24"/>
  <c r="K38" i="24"/>
  <c r="K37" i="24"/>
  <c r="K36" i="24"/>
  <c r="K35" i="24"/>
  <c r="K34" i="24"/>
  <c r="K33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0" i="24"/>
  <c r="E205" i="28"/>
  <c r="K106" i="24" s="1"/>
  <c r="E8" i="28"/>
  <c r="K8" i="24" s="1"/>
  <c r="H120" i="24"/>
  <c r="H119" i="24"/>
  <c r="H118" i="24"/>
  <c r="H117" i="24"/>
  <c r="H113" i="24"/>
  <c r="H112" i="24"/>
  <c r="H111" i="24"/>
  <c r="H95" i="24"/>
  <c r="H94" i="24"/>
  <c r="H90" i="24"/>
  <c r="H89" i="24"/>
  <c r="H67" i="24"/>
  <c r="H66" i="24"/>
  <c r="H65" i="24"/>
  <c r="H64" i="24"/>
  <c r="H63" i="24"/>
  <c r="H62" i="24"/>
  <c r="H61" i="24"/>
  <c r="H60" i="24"/>
  <c r="H59" i="24"/>
  <c r="H58" i="24"/>
  <c r="H57" i="24"/>
  <c r="H53" i="24"/>
  <c r="H52" i="24"/>
  <c r="H51" i="24"/>
  <c r="H50" i="24"/>
  <c r="H49" i="24"/>
  <c r="H48" i="24"/>
  <c r="H47" i="24"/>
  <c r="H43" i="24"/>
  <c r="H42" i="24"/>
  <c r="H41" i="24"/>
  <c r="H40" i="24"/>
  <c r="H39" i="24"/>
  <c r="H38" i="24"/>
  <c r="H37" i="24"/>
  <c r="H36" i="24"/>
  <c r="H35" i="24"/>
  <c r="H34" i="24"/>
  <c r="H33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0" i="24"/>
  <c r="L231" i="28"/>
  <c r="L230" i="28"/>
  <c r="L229" i="28"/>
  <c r="L228" i="28"/>
  <c r="L227" i="28"/>
  <c r="L226" i="28"/>
  <c r="L225" i="28"/>
  <c r="L224" i="28"/>
  <c r="E224" i="28"/>
  <c r="L223" i="28"/>
  <c r="L222" i="28"/>
  <c r="L221" i="28"/>
  <c r="L220" i="28"/>
  <c r="L219" i="28"/>
  <c r="L218" i="28"/>
  <c r="L217" i="28"/>
  <c r="L216" i="28"/>
  <c r="L215" i="28"/>
  <c r="L214" i="28"/>
  <c r="L213" i="28"/>
  <c r="L212" i="28"/>
  <c r="E212" i="28"/>
  <c r="E217" i="28" s="1"/>
  <c r="L211" i="28"/>
  <c r="L210" i="28"/>
  <c r="L209" i="28"/>
  <c r="L208" i="28"/>
  <c r="L207" i="28"/>
  <c r="L206" i="28"/>
  <c r="L205" i="28"/>
  <c r="L204" i="28"/>
  <c r="L203" i="28"/>
  <c r="L202" i="28"/>
  <c r="L201" i="28"/>
  <c r="L200" i="28"/>
  <c r="L199" i="28"/>
  <c r="L198" i="28"/>
  <c r="L197" i="28"/>
  <c r="L196" i="28"/>
  <c r="L195" i="28"/>
  <c r="L194" i="28"/>
  <c r="E194" i="28"/>
  <c r="L193" i="28"/>
  <c r="L192" i="28"/>
  <c r="L191" i="28"/>
  <c r="L190" i="28"/>
  <c r="L189" i="28"/>
  <c r="L188" i="28"/>
  <c r="L187" i="28"/>
  <c r="L186" i="28"/>
  <c r="L185" i="28"/>
  <c r="L184" i="28"/>
  <c r="L183" i="28"/>
  <c r="L182" i="28"/>
  <c r="L181" i="28"/>
  <c r="L180" i="28"/>
  <c r="L179" i="28"/>
  <c r="L178" i="28"/>
  <c r="L177" i="28"/>
  <c r="L176" i="28"/>
  <c r="L175" i="28"/>
  <c r="L174" i="28"/>
  <c r="L173" i="28"/>
  <c r="L172" i="28"/>
  <c r="L171" i="28"/>
  <c r="L170" i="28"/>
  <c r="L169" i="28"/>
  <c r="L168" i="28"/>
  <c r="L167" i="28"/>
  <c r="L166" i="28"/>
  <c r="L165" i="28"/>
  <c r="L164" i="28"/>
  <c r="E164" i="28"/>
  <c r="L163" i="28"/>
  <c r="L162" i="28"/>
  <c r="L161" i="28"/>
  <c r="L160" i="28"/>
  <c r="L159" i="28"/>
  <c r="L158" i="28"/>
  <c r="L157" i="28"/>
  <c r="L156" i="28"/>
  <c r="L155" i="28"/>
  <c r="E155" i="28"/>
  <c r="L154" i="28"/>
  <c r="L153" i="28"/>
  <c r="L152" i="28"/>
  <c r="L151" i="28"/>
  <c r="L150" i="28"/>
  <c r="L149" i="28"/>
  <c r="L148" i="28"/>
  <c r="E148" i="28"/>
  <c r="L147" i="28"/>
  <c r="L146" i="28"/>
  <c r="L145" i="28"/>
  <c r="L144" i="28"/>
  <c r="L143" i="28"/>
  <c r="L142" i="28"/>
  <c r="L141" i="28"/>
  <c r="L140" i="28"/>
  <c r="L139" i="28"/>
  <c r="E138" i="28"/>
  <c r="K138" i="28" s="1"/>
  <c r="L138" i="28" s="1"/>
  <c r="L137" i="28"/>
  <c r="L136" i="28"/>
  <c r="L135" i="28"/>
  <c r="L134" i="28"/>
  <c r="L133" i="28"/>
  <c r="L132" i="28"/>
  <c r="L131" i="28"/>
  <c r="L130" i="28"/>
  <c r="L129" i="28"/>
  <c r="L128" i="28"/>
  <c r="L127" i="28"/>
  <c r="L126" i="28"/>
  <c r="L125" i="28"/>
  <c r="E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E111" i="28"/>
  <c r="L110" i="28"/>
  <c r="L109" i="28"/>
  <c r="L108" i="28"/>
  <c r="L107" i="28"/>
  <c r="L106" i="28"/>
  <c r="L105" i="28"/>
  <c r="L104" i="28"/>
  <c r="L103" i="28"/>
  <c r="L102" i="28"/>
  <c r="L101" i="28"/>
  <c r="E101" i="28"/>
  <c r="L100" i="28"/>
  <c r="L99" i="28"/>
  <c r="L98" i="28"/>
  <c r="L97" i="28"/>
  <c r="L96" i="28"/>
  <c r="L95" i="28"/>
  <c r="L94" i="28"/>
  <c r="L93" i="28"/>
  <c r="L92" i="28"/>
  <c r="L91" i="28"/>
  <c r="L90" i="28"/>
  <c r="L89" i="28"/>
  <c r="L88" i="28"/>
  <c r="L87" i="28"/>
  <c r="L86" i="28"/>
  <c r="L85" i="28"/>
  <c r="L84" i="28"/>
  <c r="E84" i="28"/>
  <c r="L83" i="28"/>
  <c r="L80" i="28"/>
  <c r="L79" i="28"/>
  <c r="L78" i="28"/>
  <c r="L77" i="28"/>
  <c r="L76" i="28"/>
  <c r="L75" i="28"/>
  <c r="L74" i="28"/>
  <c r="L73" i="28"/>
  <c r="L72" i="28"/>
  <c r="L71" i="28"/>
  <c r="L70" i="28"/>
  <c r="L69" i="28"/>
  <c r="E69" i="28"/>
  <c r="L68" i="28"/>
  <c r="L67" i="28"/>
  <c r="L66" i="28"/>
  <c r="L65" i="28"/>
  <c r="L64" i="28"/>
  <c r="L63" i="28"/>
  <c r="L62" i="28"/>
  <c r="L61" i="28"/>
  <c r="E61" i="28"/>
  <c r="L60" i="28"/>
  <c r="L59" i="28"/>
  <c r="L58" i="28"/>
  <c r="L57" i="28"/>
  <c r="L56" i="28"/>
  <c r="E56" i="28"/>
  <c r="L55" i="28"/>
  <c r="L54" i="28"/>
  <c r="L53" i="28"/>
  <c r="L52" i="28"/>
  <c r="L51" i="28"/>
  <c r="L50" i="28"/>
  <c r="L44" i="28"/>
  <c r="L43" i="28"/>
  <c r="L42" i="28"/>
  <c r="L41" i="28"/>
  <c r="L40" i="28"/>
  <c r="L39" i="28"/>
  <c r="L38" i="28"/>
  <c r="L37" i="28"/>
  <c r="L36" i="28"/>
  <c r="E36" i="28"/>
  <c r="L35" i="28"/>
  <c r="L34" i="28"/>
  <c r="L33" i="28"/>
  <c r="L32" i="28"/>
  <c r="L31" i="28"/>
  <c r="L13" i="28"/>
  <c r="L12" i="28"/>
  <c r="L11" i="28"/>
  <c r="K10" i="28"/>
  <c r="L10" i="28" s="1"/>
  <c r="L9" i="28"/>
  <c r="L8" i="28"/>
  <c r="E205" i="25"/>
  <c r="H106" i="24" s="1"/>
  <c r="I66" i="7"/>
  <c r="E69" i="25"/>
  <c r="E155" i="25"/>
  <c r="E8" i="25"/>
  <c r="H8" i="24" s="1"/>
  <c r="F42" i="26"/>
  <c r="F38" i="26"/>
  <c r="F37" i="26"/>
  <c r="F36" i="26"/>
  <c r="F30" i="26"/>
  <c r="F29" i="26"/>
  <c r="F28" i="26"/>
  <c r="F24" i="26"/>
  <c r="F23" i="26"/>
  <c r="F22" i="26"/>
  <c r="F16" i="26"/>
  <c r="F15" i="26"/>
  <c r="F14" i="26"/>
  <c r="F9" i="26"/>
  <c r="F10" i="26"/>
  <c r="F8" i="26"/>
  <c r="J42" i="26"/>
  <c r="J38" i="26"/>
  <c r="J37" i="26"/>
  <c r="J36" i="26"/>
  <c r="J30" i="26"/>
  <c r="J29" i="26"/>
  <c r="J28" i="26"/>
  <c r="J24" i="26"/>
  <c r="J23" i="26"/>
  <c r="J22" i="26"/>
  <c r="L18" i="14"/>
  <c r="Y18" i="14" s="1"/>
  <c r="L19" i="14"/>
  <c r="Y19" i="14" s="1"/>
  <c r="L20" i="14"/>
  <c r="Y20" i="14" s="1"/>
  <c r="L21" i="14"/>
  <c r="Y21" i="14" s="1"/>
  <c r="L22" i="14"/>
  <c r="Y22" i="14" s="1"/>
  <c r="L17" i="14"/>
  <c r="Y17" i="14" s="1"/>
  <c r="J16" i="26"/>
  <c r="J15" i="26"/>
  <c r="J14" i="26"/>
  <c r="J9" i="26"/>
  <c r="J10" i="26"/>
  <c r="J8" i="26"/>
  <c r="J33" i="9"/>
  <c r="J28" i="9"/>
  <c r="L27" i="14"/>
  <c r="Y27" i="14" s="1"/>
  <c r="L28" i="14"/>
  <c r="Y28" i="14" s="1"/>
  <c r="L29" i="14"/>
  <c r="Y29" i="14" s="1"/>
  <c r="L30" i="14"/>
  <c r="Y30" i="14" s="1"/>
  <c r="L31" i="14"/>
  <c r="Y31" i="14" s="1"/>
  <c r="L32" i="14"/>
  <c r="Y32" i="14" s="1"/>
  <c r="L33" i="14"/>
  <c r="Y33" i="14" s="1"/>
  <c r="L34" i="14"/>
  <c r="Y34" i="14" s="1"/>
  <c r="L35" i="14"/>
  <c r="Y35" i="14" s="1"/>
  <c r="L36" i="14"/>
  <c r="Y36" i="14" s="1"/>
  <c r="L37" i="14"/>
  <c r="Y37" i="14" s="1"/>
  <c r="L38" i="14"/>
  <c r="Y38" i="14" s="1"/>
  <c r="L39" i="14"/>
  <c r="Y39" i="14" s="1"/>
  <c r="L40" i="14"/>
  <c r="Y40" i="14" s="1"/>
  <c r="L41" i="14"/>
  <c r="Y41" i="14" s="1"/>
  <c r="L26" i="14"/>
  <c r="Y26" i="14" s="1"/>
  <c r="E86" i="28" l="1"/>
  <c r="E157" i="28"/>
  <c r="Y24" i="14"/>
  <c r="J31" i="9" s="1"/>
  <c r="G121" i="28"/>
  <c r="L64" i="24" s="1"/>
  <c r="G117" i="28"/>
  <c r="L60" i="24" s="1"/>
  <c r="G110" i="28"/>
  <c r="L53" i="24" s="1"/>
  <c r="G106" i="28"/>
  <c r="L49" i="24" s="1"/>
  <c r="G99" i="28"/>
  <c r="L42" i="24" s="1"/>
  <c r="G95" i="28"/>
  <c r="L38" i="24" s="1"/>
  <c r="G91" i="28"/>
  <c r="G124" i="28"/>
  <c r="L67" i="24" s="1"/>
  <c r="G120" i="28"/>
  <c r="L63" i="24" s="1"/>
  <c r="G116" i="28"/>
  <c r="L59" i="24" s="1"/>
  <c r="G109" i="28"/>
  <c r="L52" i="24" s="1"/>
  <c r="G105" i="28"/>
  <c r="L48" i="24" s="1"/>
  <c r="G98" i="28"/>
  <c r="L41" i="24" s="1"/>
  <c r="G94" i="28"/>
  <c r="L37" i="24" s="1"/>
  <c r="G90" i="28"/>
  <c r="L33" i="24" s="1"/>
  <c r="G123" i="28"/>
  <c r="L66" i="24" s="1"/>
  <c r="G119" i="28"/>
  <c r="L62" i="24" s="1"/>
  <c r="G115" i="28"/>
  <c r="G108" i="28"/>
  <c r="L51" i="24" s="1"/>
  <c r="G104" i="28"/>
  <c r="G97" i="28"/>
  <c r="L40" i="24" s="1"/>
  <c r="G93" i="28"/>
  <c r="L36" i="24" s="1"/>
  <c r="G122" i="28"/>
  <c r="L65" i="24" s="1"/>
  <c r="G118" i="28"/>
  <c r="L61" i="24" s="1"/>
  <c r="G114" i="28"/>
  <c r="L57" i="24" s="1"/>
  <c r="G107" i="28"/>
  <c r="L50" i="24" s="1"/>
  <c r="G100" i="28"/>
  <c r="L43" i="24" s="1"/>
  <c r="G96" i="28"/>
  <c r="L39" i="24" s="1"/>
  <c r="G92" i="28"/>
  <c r="L35" i="24" s="1"/>
  <c r="K85" i="24"/>
  <c r="L232" i="28"/>
  <c r="E127" i="28"/>
  <c r="G127" i="28" s="1"/>
  <c r="E196" i="28"/>
  <c r="J45" i="26"/>
  <c r="Y42" i="14"/>
  <c r="J32" i="9" s="1"/>
  <c r="J39" i="9" l="1"/>
  <c r="L47" i="24"/>
  <c r="L54" i="24" s="1"/>
  <c r="G111" i="28"/>
  <c r="G101" i="28"/>
  <c r="L34" i="24"/>
  <c r="L44" i="24" s="1"/>
  <c r="G125" i="28"/>
  <c r="L58" i="24"/>
  <c r="L68" i="24" s="1"/>
  <c r="J34" i="9"/>
  <c r="J24" i="14"/>
  <c r="J15" i="14"/>
  <c r="L70" i="24" l="1"/>
  <c r="K39" i="9"/>
  <c r="W39" i="9"/>
  <c r="L39" i="9"/>
  <c r="K34" i="9"/>
  <c r="W34" i="9"/>
  <c r="L34" i="9"/>
  <c r="J42" i="14"/>
  <c r="B6" i="9" l="1"/>
  <c r="B45" i="26" l="1"/>
  <c r="D43" i="26"/>
  <c r="D39" i="26"/>
  <c r="B33" i="26"/>
  <c r="D31" i="26"/>
  <c r="D25" i="26"/>
  <c r="B19" i="26"/>
  <c r="D17" i="26"/>
  <c r="D11" i="26"/>
  <c r="D6" i="26"/>
  <c r="D22" i="21"/>
  <c r="B2" i="26" s="1"/>
  <c r="L33" i="9"/>
  <c r="L6" i="14"/>
  <c r="D45" i="26" l="1"/>
  <c r="D19" i="26"/>
  <c r="D33" i="26"/>
  <c r="K33" i="9"/>
  <c r="J30" i="9"/>
  <c r="J29" i="9"/>
  <c r="L231" i="25" l="1"/>
  <c r="L230" i="25"/>
  <c r="L229" i="25"/>
  <c r="L228" i="25"/>
  <c r="L227" i="25"/>
  <c r="L226" i="25"/>
  <c r="L225" i="25"/>
  <c r="L224" i="25"/>
  <c r="E224" i="25"/>
  <c r="L219" i="25"/>
  <c r="L218" i="25"/>
  <c r="L217" i="25"/>
  <c r="L216" i="25"/>
  <c r="L215" i="25"/>
  <c r="L214" i="25"/>
  <c r="L213" i="25"/>
  <c r="L212" i="25"/>
  <c r="E212" i="25"/>
  <c r="E217" i="25" s="1"/>
  <c r="L211" i="25"/>
  <c r="L210" i="25"/>
  <c r="L209" i="25"/>
  <c r="L208" i="25"/>
  <c r="L207" i="25"/>
  <c r="L206" i="25"/>
  <c r="L205" i="25"/>
  <c r="L204" i="25"/>
  <c r="L203" i="25"/>
  <c r="L202" i="25"/>
  <c r="L201" i="25"/>
  <c r="L200" i="25"/>
  <c r="L199" i="25"/>
  <c r="L198" i="25"/>
  <c r="L197" i="25"/>
  <c r="L196" i="25"/>
  <c r="L195" i="25"/>
  <c r="L194" i="25"/>
  <c r="E194" i="25"/>
  <c r="L184" i="25"/>
  <c r="L183" i="25"/>
  <c r="L182" i="25"/>
  <c r="L174" i="25"/>
  <c r="L173" i="25"/>
  <c r="L172" i="25"/>
  <c r="L166" i="25"/>
  <c r="L165" i="25"/>
  <c r="L164" i="25"/>
  <c r="E164" i="25"/>
  <c r="L161" i="25"/>
  <c r="L160" i="25"/>
  <c r="L159" i="25"/>
  <c r="L158" i="25"/>
  <c r="L157" i="25"/>
  <c r="L156" i="25"/>
  <c r="L155" i="25"/>
  <c r="L154" i="25"/>
  <c r="L153" i="25"/>
  <c r="L152" i="25"/>
  <c r="L151" i="25"/>
  <c r="L150" i="25"/>
  <c r="L149" i="25"/>
  <c r="L148" i="25"/>
  <c r="E148" i="25"/>
  <c r="L147" i="25"/>
  <c r="L146" i="25"/>
  <c r="L145" i="25"/>
  <c r="L144" i="25"/>
  <c r="L143" i="25"/>
  <c r="L142" i="25"/>
  <c r="L141" i="25"/>
  <c r="L140" i="25"/>
  <c r="L139" i="25"/>
  <c r="E138" i="25"/>
  <c r="H85" i="24" s="1"/>
  <c r="L137" i="25"/>
  <c r="L136" i="25"/>
  <c r="L135" i="25"/>
  <c r="L134" i="25"/>
  <c r="L133" i="25"/>
  <c r="L132" i="25"/>
  <c r="L131" i="25"/>
  <c r="L130" i="25"/>
  <c r="L129" i="25"/>
  <c r="L128" i="25"/>
  <c r="L127" i="25"/>
  <c r="F127" i="25"/>
  <c r="L126" i="25"/>
  <c r="L125" i="25"/>
  <c r="E125" i="25"/>
  <c r="L113" i="25"/>
  <c r="L112" i="25"/>
  <c r="L111" i="25"/>
  <c r="E111" i="25"/>
  <c r="L103" i="25"/>
  <c r="L102" i="25"/>
  <c r="L101" i="25"/>
  <c r="E101" i="25"/>
  <c r="L89" i="25"/>
  <c r="L88" i="25"/>
  <c r="L87" i="25"/>
  <c r="L86" i="25"/>
  <c r="L85" i="25"/>
  <c r="L84" i="25"/>
  <c r="E84" i="25"/>
  <c r="L83" i="25"/>
  <c r="L80" i="25"/>
  <c r="L79" i="25"/>
  <c r="L78" i="25"/>
  <c r="L77" i="25"/>
  <c r="L76" i="25"/>
  <c r="L75" i="25"/>
  <c r="L74" i="25"/>
  <c r="L73" i="25"/>
  <c r="L72" i="25"/>
  <c r="L71" i="25"/>
  <c r="L70" i="25"/>
  <c r="L69" i="25"/>
  <c r="L68" i="25"/>
  <c r="L67" i="25"/>
  <c r="L66" i="25"/>
  <c r="L65" i="25"/>
  <c r="L64" i="25"/>
  <c r="L63" i="25"/>
  <c r="L62" i="25"/>
  <c r="L61" i="25"/>
  <c r="E61" i="25"/>
  <c r="L60" i="25"/>
  <c r="L59" i="25"/>
  <c r="L58" i="25"/>
  <c r="L57" i="25"/>
  <c r="L56" i="25"/>
  <c r="E56" i="25"/>
  <c r="E86" i="25" s="1"/>
  <c r="L55" i="25"/>
  <c r="L54" i="25"/>
  <c r="L53" i="25"/>
  <c r="L52" i="25"/>
  <c r="L51" i="25"/>
  <c r="L50" i="25"/>
  <c r="L44" i="25"/>
  <c r="L43" i="25"/>
  <c r="L42" i="25"/>
  <c r="L41" i="25"/>
  <c r="L40" i="25"/>
  <c r="L39" i="25"/>
  <c r="L38" i="25"/>
  <c r="L37" i="25"/>
  <c r="L36" i="25"/>
  <c r="E36" i="25"/>
  <c r="L35" i="25"/>
  <c r="L34" i="25"/>
  <c r="L33" i="25"/>
  <c r="L32" i="25"/>
  <c r="L31" i="25"/>
  <c r="L13" i="25"/>
  <c r="L12" i="25"/>
  <c r="L11" i="25"/>
  <c r="K10" i="25"/>
  <c r="L10" i="25" s="1"/>
  <c r="L9" i="25"/>
  <c r="L8" i="25"/>
  <c r="G121" i="25" l="1"/>
  <c r="I64" i="24" s="1"/>
  <c r="G117" i="25"/>
  <c r="I60" i="24" s="1"/>
  <c r="G110" i="25"/>
  <c r="I53" i="24" s="1"/>
  <c r="G106" i="25"/>
  <c r="I49" i="24" s="1"/>
  <c r="G92" i="25"/>
  <c r="I35" i="24" s="1"/>
  <c r="G96" i="25"/>
  <c r="I39" i="24" s="1"/>
  <c r="G100" i="25"/>
  <c r="I43" i="24" s="1"/>
  <c r="G124" i="25"/>
  <c r="I67" i="24" s="1"/>
  <c r="G120" i="25"/>
  <c r="I63" i="24" s="1"/>
  <c r="G116" i="25"/>
  <c r="I59" i="24" s="1"/>
  <c r="G109" i="25"/>
  <c r="I52" i="24" s="1"/>
  <c r="G105" i="25"/>
  <c r="I48" i="24" s="1"/>
  <c r="G93" i="25"/>
  <c r="I36" i="24" s="1"/>
  <c r="G97" i="25"/>
  <c r="I40" i="24" s="1"/>
  <c r="G90" i="25"/>
  <c r="I33" i="24" s="1"/>
  <c r="G123" i="25"/>
  <c r="I66" i="24" s="1"/>
  <c r="G119" i="25"/>
  <c r="I62" i="24" s="1"/>
  <c r="G115" i="25"/>
  <c r="I58" i="24" s="1"/>
  <c r="G108" i="25"/>
  <c r="I51" i="24" s="1"/>
  <c r="G104" i="25"/>
  <c r="G94" i="25"/>
  <c r="I37" i="24" s="1"/>
  <c r="G98" i="25"/>
  <c r="I41" i="24" s="1"/>
  <c r="G122" i="25"/>
  <c r="I65" i="24" s="1"/>
  <c r="G118" i="25"/>
  <c r="I61" i="24" s="1"/>
  <c r="G114" i="25"/>
  <c r="G107" i="25"/>
  <c r="I50" i="24" s="1"/>
  <c r="G91" i="25"/>
  <c r="G95" i="25"/>
  <c r="I38" i="24" s="1"/>
  <c r="G99" i="25"/>
  <c r="I42" i="24" s="1"/>
  <c r="E196" i="25"/>
  <c r="E127" i="25"/>
  <c r="G127" i="25" s="1"/>
  <c r="K138" i="25"/>
  <c r="L138" i="25" s="1"/>
  <c r="E157" i="25"/>
  <c r="C3" i="24"/>
  <c r="E4" i="24"/>
  <c r="H4" i="24" s="1"/>
  <c r="K4" i="24" s="1"/>
  <c r="G125" i="25" l="1"/>
  <c r="I57" i="24"/>
  <c r="I68" i="24" s="1"/>
  <c r="G111" i="25"/>
  <c r="I47" i="24"/>
  <c r="I54" i="24" s="1"/>
  <c r="G101" i="25"/>
  <c r="I34" i="24"/>
  <c r="I44" i="24" s="1"/>
  <c r="H121" i="24"/>
  <c r="K121" i="24"/>
  <c r="H114" i="24"/>
  <c r="K114" i="24"/>
  <c r="K96" i="24"/>
  <c r="H96" i="24"/>
  <c r="K91" i="24"/>
  <c r="H91" i="24"/>
  <c r="I70" i="24" l="1"/>
  <c r="K100" i="24"/>
  <c r="K125" i="24"/>
  <c r="H100" i="24"/>
  <c r="H125" i="24"/>
  <c r="H68" i="24" l="1"/>
  <c r="K68" i="24"/>
  <c r="H54" i="24"/>
  <c r="K54" i="24"/>
  <c r="H44" i="24"/>
  <c r="K44" i="24"/>
  <c r="H30" i="24"/>
  <c r="K30" i="24"/>
  <c r="Q8" i="7"/>
  <c r="Q9" i="7"/>
  <c r="Q11" i="7"/>
  <c r="Q12" i="7"/>
  <c r="Q13" i="7"/>
  <c r="Q14" i="7"/>
  <c r="Q16" i="7"/>
  <c r="Q18" i="7"/>
  <c r="Q19" i="7"/>
  <c r="Q20" i="7"/>
  <c r="Q21" i="7"/>
  <c r="Q22" i="7"/>
  <c r="Q23" i="7"/>
  <c r="Q24" i="7"/>
  <c r="Q25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4" i="7"/>
  <c r="Q85" i="7"/>
  <c r="Q86" i="7"/>
  <c r="Q87" i="7"/>
  <c r="Q88" i="7"/>
  <c r="Q89" i="7"/>
  <c r="Q90" i="7"/>
  <c r="Q91" i="7"/>
  <c r="Q103" i="7"/>
  <c r="Q104" i="7"/>
  <c r="Q105" i="7"/>
  <c r="Q113" i="7"/>
  <c r="Q114" i="7"/>
  <c r="Q115" i="7"/>
  <c r="Q127" i="7"/>
  <c r="Q128" i="7"/>
  <c r="Q129" i="7"/>
  <c r="Q130" i="7"/>
  <c r="Q131" i="7"/>
  <c r="Q132" i="7"/>
  <c r="Q133" i="7"/>
  <c r="Q134" i="7"/>
  <c r="Q135" i="7"/>
  <c r="Q137" i="7"/>
  <c r="Q138" i="7"/>
  <c r="Q139" i="7"/>
  <c r="Q140" i="7"/>
  <c r="Q141" i="7"/>
  <c r="Q143" i="7"/>
  <c r="Q144" i="7"/>
  <c r="Q145" i="7"/>
  <c r="Q146" i="7"/>
  <c r="Q147" i="7"/>
  <c r="Q148" i="7"/>
  <c r="Q149" i="7"/>
  <c r="Q150" i="7"/>
  <c r="Q151" i="7"/>
  <c r="Q152" i="7"/>
  <c r="Q153" i="7"/>
  <c r="Q154" i="7"/>
  <c r="Q155" i="7"/>
  <c r="Q156" i="7"/>
  <c r="Q157" i="7"/>
  <c r="Q158" i="7"/>
  <c r="Q159" i="7"/>
  <c r="Q160" i="7"/>
  <c r="Q161" i="7"/>
  <c r="Q162" i="7"/>
  <c r="Q163" i="7"/>
  <c r="Q164" i="7"/>
  <c r="Q165" i="7"/>
  <c r="Q168" i="7"/>
  <c r="Q169" i="7"/>
  <c r="Q170" i="7"/>
  <c r="Q176" i="7"/>
  <c r="Q177" i="7"/>
  <c r="Q178" i="7"/>
  <c r="Q186" i="7"/>
  <c r="Q187" i="7"/>
  <c r="Q188" i="7"/>
  <c r="Q198" i="7"/>
  <c r="Q199" i="7"/>
  <c r="Q200" i="7"/>
  <c r="Q201" i="7"/>
  <c r="Q202" i="7"/>
  <c r="Q203" i="7"/>
  <c r="Q204" i="7"/>
  <c r="Q206" i="7"/>
  <c r="Q207" i="7"/>
  <c r="Q208" i="7"/>
  <c r="Q209" i="7"/>
  <c r="Q210" i="7"/>
  <c r="Q211" i="7"/>
  <c r="Q212" i="7"/>
  <c r="Q213" i="7"/>
  <c r="Q214" i="7"/>
  <c r="Q215" i="7"/>
  <c r="Q216" i="7"/>
  <c r="Q217" i="7"/>
  <c r="Q218" i="7"/>
  <c r="Q219" i="7"/>
  <c r="Q220" i="7"/>
  <c r="Q221" i="7"/>
  <c r="Q222" i="7"/>
  <c r="Q223" i="7"/>
  <c r="Q224" i="7"/>
  <c r="Q229" i="7"/>
  <c r="Q230" i="7"/>
  <c r="Q231" i="7"/>
  <c r="Q232" i="7"/>
  <c r="Q233" i="7"/>
  <c r="Q234" i="7"/>
  <c r="Q235" i="7"/>
  <c r="Q236" i="7"/>
  <c r="Q237" i="7"/>
  <c r="E230" i="7"/>
  <c r="G230" i="7"/>
  <c r="I220" i="7"/>
  <c r="I219" i="7"/>
  <c r="E217" i="7"/>
  <c r="E222" i="7" s="1"/>
  <c r="G217" i="7"/>
  <c r="G222" i="7" s="1"/>
  <c r="I216" i="7"/>
  <c r="I215" i="7"/>
  <c r="E212" i="7"/>
  <c r="G212" i="7"/>
  <c r="I211" i="7"/>
  <c r="I210" i="7"/>
  <c r="K70" i="24" l="1"/>
  <c r="H70" i="24"/>
  <c r="K74" i="24"/>
  <c r="H74" i="24"/>
  <c r="I212" i="7"/>
  <c r="I217" i="7"/>
  <c r="I222" i="7" s="1"/>
  <c r="D25" i="21"/>
  <c r="E16" i="9" s="1"/>
  <c r="E198" i="7"/>
  <c r="G198" i="7"/>
  <c r="I197" i="7"/>
  <c r="I196" i="7"/>
  <c r="I195" i="7"/>
  <c r="I194" i="7"/>
  <c r="I193" i="7"/>
  <c r="I192" i="7"/>
  <c r="I191" i="7"/>
  <c r="I190" i="7"/>
  <c r="I189" i="7"/>
  <c r="I185" i="7"/>
  <c r="I184" i="7"/>
  <c r="I183" i="7"/>
  <c r="I182" i="7"/>
  <c r="I181" i="7"/>
  <c r="I180" i="7"/>
  <c r="I179" i="7"/>
  <c r="I175" i="7"/>
  <c r="I174" i="7"/>
  <c r="I173" i="7"/>
  <c r="I172" i="7"/>
  <c r="I171" i="7"/>
  <c r="E168" i="7"/>
  <c r="G168" i="7"/>
  <c r="I167" i="7"/>
  <c r="I166" i="7"/>
  <c r="P10" i="7"/>
  <c r="Q10" i="7" s="1"/>
  <c r="E159" i="7"/>
  <c r="G159" i="7"/>
  <c r="I158" i="7"/>
  <c r="I157" i="7"/>
  <c r="I156" i="7"/>
  <c r="I155" i="7"/>
  <c r="E152" i="7"/>
  <c r="G152" i="7"/>
  <c r="I151" i="7"/>
  <c r="I150" i="7"/>
  <c r="I149" i="7"/>
  <c r="I148" i="7"/>
  <c r="I147" i="7"/>
  <c r="G143" i="7"/>
  <c r="I141" i="7"/>
  <c r="J14" i="13" s="1"/>
  <c r="P15" i="7"/>
  <c r="Q15" i="7" s="1"/>
  <c r="G200" i="7" l="1"/>
  <c r="B2" i="25"/>
  <c r="E15" i="9"/>
  <c r="B2" i="28"/>
  <c r="E161" i="7"/>
  <c r="I168" i="7"/>
  <c r="E200" i="7"/>
  <c r="I198" i="7"/>
  <c r="I152" i="7"/>
  <c r="I159" i="7"/>
  <c r="G161" i="7"/>
  <c r="I20" i="7"/>
  <c r="I69" i="7"/>
  <c r="E70" i="7"/>
  <c r="I68" i="7"/>
  <c r="I161" i="7" l="1"/>
  <c r="I200" i="7"/>
  <c r="Q26" i="7"/>
  <c r="E62" i="7"/>
  <c r="G62" i="7"/>
  <c r="E57" i="7"/>
  <c r="G57" i="7"/>
  <c r="I67" i="7"/>
  <c r="I70" i="7" s="1"/>
  <c r="I61" i="7"/>
  <c r="I60" i="7"/>
  <c r="E85" i="7"/>
  <c r="G85" i="7"/>
  <c r="I84" i="7"/>
  <c r="I81" i="7"/>
  <c r="I80" i="7"/>
  <c r="I53" i="7"/>
  <c r="I56" i="7"/>
  <c r="I55" i="7"/>
  <c r="I54" i="7"/>
  <c r="I52" i="7"/>
  <c r="I62" i="7" l="1"/>
  <c r="I85" i="7"/>
  <c r="I57" i="7"/>
  <c r="E44" i="7" l="1"/>
  <c r="G44" i="7"/>
  <c r="I43" i="7"/>
  <c r="I42" i="7"/>
  <c r="I41" i="7"/>
  <c r="I40" i="7"/>
  <c r="E37" i="7"/>
  <c r="G37" i="7"/>
  <c r="I36" i="7"/>
  <c r="I35" i="7"/>
  <c r="G32" i="7"/>
  <c r="E11" i="7"/>
  <c r="G11" i="7"/>
  <c r="I10" i="7"/>
  <c r="I15" i="7"/>
  <c r="I16" i="7"/>
  <c r="I18" i="7"/>
  <c r="I19" i="7"/>
  <c r="I21" i="7"/>
  <c r="I22" i="7"/>
  <c r="I23" i="7"/>
  <c r="I24" i="7"/>
  <c r="I25" i="7"/>
  <c r="I26" i="7"/>
  <c r="I31" i="7"/>
  <c r="I14" i="7"/>
  <c r="I9" i="7"/>
  <c r="I8" i="7"/>
  <c r="E87" i="7" l="1"/>
  <c r="G87" i="7"/>
  <c r="G14" i="13"/>
  <c r="I11" i="7"/>
  <c r="I44" i="7"/>
  <c r="I37" i="7"/>
  <c r="I32" i="7"/>
  <c r="H6" i="14"/>
  <c r="F4" i="26" l="1"/>
  <c r="G4" i="7"/>
  <c r="B207" i="7" s="1"/>
  <c r="C2" i="24"/>
  <c r="E142" i="7"/>
  <c r="P142" i="7" s="1"/>
  <c r="Q142" i="7" s="1"/>
  <c r="E77" i="24" l="1"/>
  <c r="E128" i="24"/>
  <c r="E17" i="24"/>
  <c r="E21" i="24"/>
  <c r="E107" i="24"/>
  <c r="E112" i="24"/>
  <c r="E113" i="24"/>
  <c r="E106" i="24"/>
  <c r="E111" i="24"/>
  <c r="E84" i="24"/>
  <c r="E94" i="24"/>
  <c r="E90" i="24"/>
  <c r="E89" i="24"/>
  <c r="E95" i="24"/>
  <c r="E19" i="24"/>
  <c r="E29" i="24"/>
  <c r="E22" i="24"/>
  <c r="E18" i="24"/>
  <c r="E8" i="24"/>
  <c r="E10" i="24"/>
  <c r="E16" i="24"/>
  <c r="E15" i="24"/>
  <c r="E14" i="24"/>
  <c r="E9" i="24"/>
  <c r="E143" i="7"/>
  <c r="I142" i="7"/>
  <c r="E114" i="24" l="1"/>
  <c r="E108" i="24"/>
  <c r="E124" i="24" s="1"/>
  <c r="E96" i="24"/>
  <c r="E11" i="24"/>
  <c r="E91" i="24"/>
  <c r="I143" i="7"/>
  <c r="E85" i="24"/>
  <c r="E86" i="24" s="1"/>
  <c r="E99" i="24" s="1"/>
  <c r="E73" i="24" l="1"/>
  <c r="E100" i="24"/>
  <c r="I203" i="7"/>
  <c r="H42" i="14"/>
  <c r="F42" i="14"/>
  <c r="I205" i="7" l="1"/>
  <c r="E101" i="24"/>
  <c r="E137" i="25"/>
  <c r="F6" i="14"/>
  <c r="D4" i="28" l="1"/>
  <c r="H84" i="24"/>
  <c r="H86" i="24" s="1"/>
  <c r="H99" i="24" s="1"/>
  <c r="E139" i="25"/>
  <c r="E199" i="25" s="1"/>
  <c r="D4" i="25"/>
  <c r="D4" i="26"/>
  <c r="L220" i="25"/>
  <c r="L192" i="25"/>
  <c r="L188" i="25"/>
  <c r="L178" i="25"/>
  <c r="L168" i="25"/>
  <c r="L162" i="25"/>
  <c r="L123" i="25"/>
  <c r="L121" i="25"/>
  <c r="L119" i="25"/>
  <c r="L117" i="25"/>
  <c r="L115" i="25"/>
  <c r="L110" i="25"/>
  <c r="L108" i="25"/>
  <c r="L106" i="25"/>
  <c r="L104" i="25"/>
  <c r="L99" i="25"/>
  <c r="L97" i="25"/>
  <c r="L95" i="25"/>
  <c r="L93" i="25"/>
  <c r="L91" i="25"/>
  <c r="L221" i="25"/>
  <c r="L193" i="25"/>
  <c r="L189" i="25"/>
  <c r="L185" i="25"/>
  <c r="L179" i="25"/>
  <c r="L175" i="25"/>
  <c r="L169" i="25"/>
  <c r="L163" i="25"/>
  <c r="L190" i="25"/>
  <c r="L186" i="25"/>
  <c r="L171" i="25"/>
  <c r="L167" i="25"/>
  <c r="L124" i="25"/>
  <c r="L120" i="25"/>
  <c r="L116" i="25"/>
  <c r="L100" i="25"/>
  <c r="L96" i="25"/>
  <c r="L92" i="25"/>
  <c r="L223" i="25"/>
  <c r="L180" i="25"/>
  <c r="L176" i="25"/>
  <c r="L107" i="25"/>
  <c r="L191" i="25"/>
  <c r="L187" i="25"/>
  <c r="L170" i="25"/>
  <c r="L122" i="25"/>
  <c r="L118" i="25"/>
  <c r="L114" i="25"/>
  <c r="L98" i="25"/>
  <c r="L94" i="25"/>
  <c r="L90" i="25"/>
  <c r="L222" i="25"/>
  <c r="L181" i="25"/>
  <c r="L177" i="25"/>
  <c r="L109" i="25"/>
  <c r="L105" i="25"/>
  <c r="E201" i="25" l="1"/>
  <c r="H101" i="24"/>
  <c r="E137" i="28"/>
  <c r="L232" i="25"/>
  <c r="J38" i="9" s="1"/>
  <c r="W38" i="9" s="1"/>
  <c r="I72" i="7"/>
  <c r="E23" i="24" s="1"/>
  <c r="I73" i="7"/>
  <c r="E24" i="24" s="1"/>
  <c r="I74" i="7"/>
  <c r="E25" i="24" s="1"/>
  <c r="I75" i="7"/>
  <c r="E26" i="24" s="1"/>
  <c r="I76" i="7"/>
  <c r="E27" i="24" s="1"/>
  <c r="I77" i="7"/>
  <c r="E28" i="24" s="1"/>
  <c r="I64" i="7"/>
  <c r="E20" i="24" l="1"/>
  <c r="E30" i="24" s="1"/>
  <c r="I87" i="7"/>
  <c r="K84" i="24"/>
  <c r="K86" i="24" s="1"/>
  <c r="K99" i="24" s="1"/>
  <c r="E139" i="28"/>
  <c r="E199" i="28" s="1"/>
  <c r="L38" i="9"/>
  <c r="K38" i="9"/>
  <c r="E4" i="13"/>
  <c r="E201" i="28" l="1"/>
  <c r="K101" i="24"/>
  <c r="D23" i="21" l="1"/>
  <c r="H24" i="14"/>
  <c r="F24" i="14"/>
  <c r="H15" i="14"/>
  <c r="F15" i="14"/>
  <c r="O2" i="9" l="1"/>
  <c r="E14" i="9"/>
  <c r="B2" i="14"/>
  <c r="S5" i="14" s="1"/>
  <c r="B2" i="7"/>
  <c r="B2" i="13"/>
  <c r="K32" i="9" l="1"/>
  <c r="L31" i="9"/>
  <c r="L30" i="9"/>
  <c r="L29" i="9"/>
  <c r="K28" i="9"/>
  <c r="D21" i="21"/>
  <c r="B4" i="26" l="1"/>
  <c r="B4" i="28"/>
  <c r="B4" i="25"/>
  <c r="B1" i="24"/>
  <c r="J27" i="9"/>
  <c r="K27" i="9" s="1"/>
  <c r="W30" i="9"/>
  <c r="W32" i="9"/>
  <c r="W29" i="9"/>
  <c r="W28" i="9"/>
  <c r="B6" i="13"/>
  <c r="W31" i="9"/>
  <c r="L32" i="9"/>
  <c r="K31" i="9"/>
  <c r="K29" i="9"/>
  <c r="L28" i="9"/>
  <c r="K30" i="9"/>
  <c r="L27" i="9" l="1"/>
  <c r="W27" i="9"/>
  <c r="J16" i="13"/>
  <c r="F129" i="7" l="1"/>
  <c r="I226" i="7"/>
  <c r="E118" i="24" s="1"/>
  <c r="I227" i="7"/>
  <c r="E119" i="24" s="1"/>
  <c r="I228" i="7"/>
  <c r="E120" i="24" s="1"/>
  <c r="I225" i="7"/>
  <c r="E117" i="24" s="1"/>
  <c r="E121" i="24" l="1"/>
  <c r="E125" i="24" s="1"/>
  <c r="E126" i="24" s="1"/>
  <c r="I230" i="7"/>
  <c r="J37" i="9"/>
  <c r="W37" i="9" l="1"/>
  <c r="L37" i="9"/>
  <c r="K37" i="9"/>
  <c r="I235" i="7"/>
  <c r="K235" i="7" s="1"/>
  <c r="J15" i="13"/>
  <c r="I234" i="7" l="1"/>
  <c r="I237" i="7"/>
  <c r="K237" i="7" s="1"/>
  <c r="E129" i="24" l="1"/>
  <c r="E206" i="25"/>
  <c r="J13" i="13"/>
  <c r="J17" i="13" s="1"/>
  <c r="H107" i="24" l="1"/>
  <c r="H108" i="24" s="1"/>
  <c r="H124" i="24" s="1"/>
  <c r="H126" i="24" s="1"/>
  <c r="E207" i="25"/>
  <c r="E229" i="25" s="1"/>
  <c r="E130" i="24"/>
  <c r="K203" i="7"/>
  <c r="E231" i="25" l="1"/>
  <c r="E228" i="25"/>
  <c r="D4" i="7"/>
  <c r="C4" i="24" s="1"/>
  <c r="B7" i="13"/>
  <c r="B31" i="13" s="1"/>
  <c r="B1" i="12"/>
  <c r="B4" i="7"/>
  <c r="I126" i="7"/>
  <c r="K126" i="7" s="1"/>
  <c r="F67" i="24" s="1"/>
  <c r="I125" i="7"/>
  <c r="K125" i="7" s="1"/>
  <c r="F66" i="24" s="1"/>
  <c r="I124" i="7"/>
  <c r="K124" i="7" s="1"/>
  <c r="F65" i="24" s="1"/>
  <c r="I123" i="7"/>
  <c r="K123" i="7" s="1"/>
  <c r="F64" i="24" s="1"/>
  <c r="I122" i="7"/>
  <c r="K122" i="7" s="1"/>
  <c r="F63" i="24" s="1"/>
  <c r="I121" i="7"/>
  <c r="K121" i="7" s="1"/>
  <c r="F62" i="24" s="1"/>
  <c r="I120" i="7"/>
  <c r="K120" i="7" s="1"/>
  <c r="F61" i="24" s="1"/>
  <c r="I119" i="7"/>
  <c r="K119" i="7" s="1"/>
  <c r="F60" i="24" s="1"/>
  <c r="I118" i="7"/>
  <c r="K118" i="7" s="1"/>
  <c r="F59" i="24" s="1"/>
  <c r="I117" i="7"/>
  <c r="I116" i="7"/>
  <c r="K116" i="7" s="1"/>
  <c r="F57" i="24" s="1"/>
  <c r="G127" i="7"/>
  <c r="E127" i="7"/>
  <c r="I112" i="7"/>
  <c r="K112" i="7" s="1"/>
  <c r="F53" i="24" s="1"/>
  <c r="I111" i="7"/>
  <c r="K111" i="7" s="1"/>
  <c r="F52" i="24" s="1"/>
  <c r="I110" i="7"/>
  <c r="K110" i="7" s="1"/>
  <c r="F51" i="24" s="1"/>
  <c r="I109" i="7"/>
  <c r="K109" i="7" s="1"/>
  <c r="F50" i="24" s="1"/>
  <c r="I108" i="7"/>
  <c r="K108" i="7" s="1"/>
  <c r="F49" i="24" s="1"/>
  <c r="I107" i="7"/>
  <c r="K107" i="7" s="1"/>
  <c r="F48" i="24" s="1"/>
  <c r="I106" i="7"/>
  <c r="K106" i="7" s="1"/>
  <c r="F47" i="24" s="1"/>
  <c r="G113" i="7"/>
  <c r="E113" i="7"/>
  <c r="K117" i="7" l="1"/>
  <c r="F58" i="24" s="1"/>
  <c r="E50" i="24"/>
  <c r="E59" i="24"/>
  <c r="E63" i="24"/>
  <c r="E67" i="24"/>
  <c r="E47" i="24"/>
  <c r="E51" i="24"/>
  <c r="E60" i="24"/>
  <c r="E64" i="24"/>
  <c r="E206" i="28"/>
  <c r="E207" i="28" s="1"/>
  <c r="E229" i="28" s="1"/>
  <c r="H129" i="24"/>
  <c r="H130" i="24" s="1"/>
  <c r="E52" i="24"/>
  <c r="E57" i="24"/>
  <c r="E61" i="24"/>
  <c r="E65" i="24"/>
  <c r="E49" i="24"/>
  <c r="E53" i="24"/>
  <c r="E58" i="24"/>
  <c r="E62" i="24"/>
  <c r="E66" i="24"/>
  <c r="E48" i="24"/>
  <c r="P225" i="7"/>
  <c r="Q225" i="7" s="1"/>
  <c r="P228" i="7"/>
  <c r="Q228" i="7" s="1"/>
  <c r="P227" i="7"/>
  <c r="Q227" i="7" s="1"/>
  <c r="P226" i="7"/>
  <c r="Q226" i="7" s="1"/>
  <c r="P195" i="7"/>
  <c r="Q195" i="7" s="1"/>
  <c r="P191" i="7"/>
  <c r="Q191" i="7" s="1"/>
  <c r="P184" i="7"/>
  <c r="Q184" i="7" s="1"/>
  <c r="P180" i="7"/>
  <c r="Q180" i="7" s="1"/>
  <c r="P173" i="7"/>
  <c r="Q173" i="7" s="1"/>
  <c r="P166" i="7"/>
  <c r="Q166" i="7" s="1"/>
  <c r="P194" i="7"/>
  <c r="Q194" i="7" s="1"/>
  <c r="P190" i="7"/>
  <c r="Q190" i="7" s="1"/>
  <c r="P183" i="7"/>
  <c r="Q183" i="7" s="1"/>
  <c r="P179" i="7"/>
  <c r="Q179" i="7" s="1"/>
  <c r="P172" i="7"/>
  <c r="Q172" i="7" s="1"/>
  <c r="P197" i="7"/>
  <c r="Q197" i="7" s="1"/>
  <c r="P193" i="7"/>
  <c r="Q193" i="7" s="1"/>
  <c r="P189" i="7"/>
  <c r="Q189" i="7" s="1"/>
  <c r="P182" i="7"/>
  <c r="Q182" i="7" s="1"/>
  <c r="P175" i="7"/>
  <c r="Q175" i="7" s="1"/>
  <c r="P171" i="7"/>
  <c r="Q171" i="7" s="1"/>
  <c r="P196" i="7"/>
  <c r="Q196" i="7" s="1"/>
  <c r="P192" i="7"/>
  <c r="Q192" i="7" s="1"/>
  <c r="P185" i="7"/>
  <c r="Q185" i="7" s="1"/>
  <c r="P181" i="7"/>
  <c r="Q181" i="7" s="1"/>
  <c r="P174" i="7"/>
  <c r="Q174" i="7" s="1"/>
  <c r="P167" i="7"/>
  <c r="Q167" i="7" s="1"/>
  <c r="P126" i="7"/>
  <c r="Q126" i="7" s="1"/>
  <c r="P122" i="7"/>
  <c r="Q122" i="7" s="1"/>
  <c r="P118" i="7"/>
  <c r="Q118" i="7" s="1"/>
  <c r="P111" i="7"/>
  <c r="Q111" i="7" s="1"/>
  <c r="P107" i="7"/>
  <c r="Q107" i="7" s="1"/>
  <c r="P100" i="7"/>
  <c r="Q100" i="7" s="1"/>
  <c r="P125" i="7"/>
  <c r="Q125" i="7" s="1"/>
  <c r="P121" i="7"/>
  <c r="Q121" i="7" s="1"/>
  <c r="P117" i="7"/>
  <c r="Q117" i="7" s="1"/>
  <c r="P110" i="7"/>
  <c r="Q110" i="7" s="1"/>
  <c r="P106" i="7"/>
  <c r="Q106" i="7" s="1"/>
  <c r="P99" i="7"/>
  <c r="Q99" i="7" s="1"/>
  <c r="P124" i="7"/>
  <c r="Q124" i="7" s="1"/>
  <c r="P120" i="7"/>
  <c r="Q120" i="7" s="1"/>
  <c r="P116" i="7"/>
  <c r="Q116" i="7" s="1"/>
  <c r="P109" i="7"/>
  <c r="Q109" i="7" s="1"/>
  <c r="P102" i="7"/>
  <c r="Q102" i="7" s="1"/>
  <c r="P123" i="7"/>
  <c r="Q123" i="7" s="1"/>
  <c r="P119" i="7"/>
  <c r="Q119" i="7" s="1"/>
  <c r="P112" i="7"/>
  <c r="Q112" i="7" s="1"/>
  <c r="P108" i="7"/>
  <c r="Q108" i="7" s="1"/>
  <c r="P101" i="7"/>
  <c r="Q101" i="7" s="1"/>
  <c r="P96" i="7"/>
  <c r="Q96" i="7" s="1"/>
  <c r="P94" i="7"/>
  <c r="Q94" i="7" s="1"/>
  <c r="P95" i="7"/>
  <c r="Q95" i="7" s="1"/>
  <c r="P98" i="7"/>
  <c r="Q98" i="7" s="1"/>
  <c r="P92" i="7"/>
  <c r="Q92" i="7" s="1"/>
  <c r="P97" i="7"/>
  <c r="Q97" i="7" s="1"/>
  <c r="P93" i="7"/>
  <c r="Q93" i="7" s="1"/>
  <c r="I127" i="7"/>
  <c r="K127" i="7" s="1"/>
  <c r="I113" i="7"/>
  <c r="K113" i="7" s="1"/>
  <c r="I93" i="7"/>
  <c r="K93" i="7" s="1"/>
  <c r="F34" i="24" s="1"/>
  <c r="I94" i="7"/>
  <c r="K94" i="7" s="1"/>
  <c r="F35" i="24" s="1"/>
  <c r="I95" i="7"/>
  <c r="K95" i="7" s="1"/>
  <c r="F36" i="24" s="1"/>
  <c r="I96" i="7"/>
  <c r="K96" i="7" s="1"/>
  <c r="F37" i="24" s="1"/>
  <c r="I97" i="7"/>
  <c r="K97" i="7" s="1"/>
  <c r="F38" i="24" s="1"/>
  <c r="I98" i="7"/>
  <c r="K98" i="7" s="1"/>
  <c r="F39" i="24" s="1"/>
  <c r="I99" i="7"/>
  <c r="K99" i="7" s="1"/>
  <c r="F40" i="24" s="1"/>
  <c r="I100" i="7"/>
  <c r="K100" i="7" s="1"/>
  <c r="F41" i="24" s="1"/>
  <c r="I101" i="7"/>
  <c r="K101" i="7" s="1"/>
  <c r="F42" i="24" s="1"/>
  <c r="I102" i="7"/>
  <c r="K102" i="7" s="1"/>
  <c r="F43" i="24" s="1"/>
  <c r="I92" i="7"/>
  <c r="K92" i="7" s="1"/>
  <c r="F33" i="24" s="1"/>
  <c r="G103" i="7"/>
  <c r="G129" i="7" s="1"/>
  <c r="E103" i="7"/>
  <c r="E129" i="7" s="1"/>
  <c r="G16" i="13" s="1"/>
  <c r="M16" i="13" s="1"/>
  <c r="G15" i="13"/>
  <c r="M15" i="13" s="1"/>
  <c r="K107" i="24" l="1"/>
  <c r="K108" i="24" s="1"/>
  <c r="K124" i="24" s="1"/>
  <c r="K126" i="24" s="1"/>
  <c r="F68" i="24"/>
  <c r="E68" i="24"/>
  <c r="E43" i="24"/>
  <c r="E54" i="24"/>
  <c r="F54" i="24"/>
  <c r="E42" i="24"/>
  <c r="E228" i="28"/>
  <c r="K129" i="24" s="1"/>
  <c r="K130" i="24" s="1"/>
  <c r="E231" i="28"/>
  <c r="E41" i="24"/>
  <c r="E34" i="24"/>
  <c r="Q136" i="7"/>
  <c r="Q205" i="7"/>
  <c r="J36" i="9" s="1"/>
  <c r="W36" i="9" s="1"/>
  <c r="E39" i="24"/>
  <c r="E37" i="24"/>
  <c r="E36" i="24"/>
  <c r="E40" i="24"/>
  <c r="E38" i="24"/>
  <c r="E35" i="24"/>
  <c r="E33" i="24"/>
  <c r="K205" i="7"/>
  <c r="I103" i="7"/>
  <c r="K103" i="7" s="1"/>
  <c r="M14" i="13"/>
  <c r="F44" i="24" l="1"/>
  <c r="F70" i="24" s="1"/>
  <c r="Q238" i="7"/>
  <c r="K36" i="9"/>
  <c r="L36" i="9"/>
  <c r="E44" i="24"/>
  <c r="I129" i="7"/>
  <c r="K129" i="7" s="1"/>
  <c r="E74" i="24" l="1"/>
  <c r="E76" i="24" s="1"/>
  <c r="E70" i="24"/>
  <c r="J35" i="9"/>
  <c r="W35" i="9" s="1"/>
  <c r="I134" i="7"/>
  <c r="E75" i="24" l="1"/>
  <c r="E3" i="30" s="1"/>
  <c r="E4" i="30" s="1"/>
  <c r="W33" i="9"/>
  <c r="G13" i="13"/>
  <c r="M13" i="13" s="1"/>
  <c r="M17" i="13" s="1"/>
  <c r="M23" i="13" s="1"/>
  <c r="L35" i="9"/>
  <c r="K35" i="9"/>
  <c r="I133" i="7"/>
  <c r="I136" i="7"/>
  <c r="K134" i="7"/>
  <c r="W40" i="9" l="1"/>
  <c r="B25" i="9" s="1"/>
  <c r="E9" i="25"/>
  <c r="H9" i="24" s="1"/>
  <c r="H11" i="24" s="1"/>
  <c r="H76" i="24" s="1"/>
  <c r="E78" i="24"/>
  <c r="E79" i="24" s="1"/>
  <c r="M25" i="13"/>
  <c r="K136" i="7"/>
  <c r="M24" i="13"/>
  <c r="G17" i="13"/>
  <c r="H73" i="24" l="1"/>
  <c r="H75" i="24" s="1"/>
  <c r="E11" i="25"/>
  <c r="E132" i="25" s="1"/>
  <c r="E134" i="25" s="1"/>
  <c r="M26" i="13"/>
  <c r="E131" i="25" l="1"/>
  <c r="E9" i="28" s="1"/>
  <c r="H78" i="24" l="1"/>
  <c r="H79" i="24" s="1"/>
  <c r="K9" i="24"/>
  <c r="K11" i="24" s="1"/>
  <c r="K76" i="24" s="1"/>
  <c r="E11" i="28"/>
  <c r="E132" i="28" s="1"/>
  <c r="E131" i="28" s="1"/>
  <c r="K78" i="24" s="1"/>
  <c r="K79" i="24" s="1"/>
  <c r="K73" i="24" l="1"/>
  <c r="K75" i="24" s="1"/>
  <c r="E134" i="28"/>
</calcChain>
</file>

<file path=xl/sharedStrings.xml><?xml version="1.0" encoding="utf-8"?>
<sst xmlns="http://schemas.openxmlformats.org/spreadsheetml/2006/main" count="2441" uniqueCount="857">
  <si>
    <t>I01</t>
  </si>
  <si>
    <t>I02</t>
  </si>
  <si>
    <t>I03</t>
  </si>
  <si>
    <t>I06</t>
  </si>
  <si>
    <t>I07</t>
  </si>
  <si>
    <t>I09</t>
  </si>
  <si>
    <t>I10</t>
  </si>
  <si>
    <t>I11</t>
  </si>
  <si>
    <t>I12</t>
  </si>
  <si>
    <t>I13</t>
  </si>
  <si>
    <t>Receipts from other insurance claims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</si>
  <si>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</si>
  <si>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</si>
  <si>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</si>
  <si>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</si>
  <si>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</si>
  <si>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</si>
  <si>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</si>
  <si>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</si>
  <si>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</si>
  <si>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</si>
  <si>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</si>
  <si>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</si>
  <si>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</si>
  <si>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</si>
  <si>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</si>
  <si>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</si>
  <si>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</si>
  <si>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</si>
  <si>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</si>
  <si>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</si>
  <si>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</si>
  <si>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</si>
  <si>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</si>
  <si>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</si>
  <si>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</si>
  <si>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</si>
  <si>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</si>
  <si>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</si>
  <si>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E30</t>
  </si>
  <si>
    <t>Rates</t>
  </si>
  <si>
    <t>STAFFING</t>
  </si>
  <si>
    <t>PREMISES</t>
  </si>
  <si>
    <t>CI01</t>
  </si>
  <si>
    <t>CI03</t>
  </si>
  <si>
    <t>CI04</t>
  </si>
  <si>
    <t>CE01</t>
  </si>
  <si>
    <t>Acquisition of land and existing buildings</t>
  </si>
  <si>
    <t>CE02</t>
  </si>
  <si>
    <t>New construction, conversion and renovation</t>
  </si>
  <si>
    <t>CE03</t>
  </si>
  <si>
    <t>CE04</t>
  </si>
  <si>
    <t>Information and communication technology</t>
  </si>
  <si>
    <t>B01</t>
  </si>
  <si>
    <t>B02</t>
  </si>
  <si>
    <t>B03</t>
  </si>
  <si>
    <t>B05</t>
  </si>
  <si>
    <t>Devolved Formula Capital balance</t>
  </si>
  <si>
    <t>Uncommitted revenue balances</t>
  </si>
  <si>
    <t>TOTAL</t>
  </si>
  <si>
    <t>Delegated Funds</t>
  </si>
  <si>
    <t>E31</t>
  </si>
  <si>
    <t>E32</t>
  </si>
  <si>
    <t>I15</t>
  </si>
  <si>
    <t>I16</t>
  </si>
  <si>
    <t>B06</t>
  </si>
  <si>
    <t>I17</t>
  </si>
  <si>
    <t>Pupil Focused</t>
  </si>
  <si>
    <t>Community Focused</t>
  </si>
  <si>
    <t>Total</t>
  </si>
  <si>
    <t>I05</t>
  </si>
  <si>
    <t>Community Focused School Balances</t>
  </si>
  <si>
    <t>I18</t>
  </si>
  <si>
    <t>£</t>
  </si>
  <si>
    <t>DfE No</t>
  </si>
  <si>
    <t>Ecode</t>
  </si>
  <si>
    <t>School Name</t>
  </si>
  <si>
    <t>File Name</t>
  </si>
  <si>
    <t>Committed Revenue Balances</t>
  </si>
  <si>
    <t>Uncomitted Revenue Balances</t>
  </si>
  <si>
    <t>Early Years Single Funding Formula</t>
  </si>
  <si>
    <t>Growing Schools Funding</t>
  </si>
  <si>
    <t>Funding for Sixth Form Students</t>
  </si>
  <si>
    <t>High Needs Top-Up Funding</t>
  </si>
  <si>
    <t>Pupil Premium</t>
  </si>
  <si>
    <t>Central</t>
  </si>
  <si>
    <t>Local</t>
  </si>
  <si>
    <t>Income from Other Local Authorities</t>
  </si>
  <si>
    <t>Other Government Grants</t>
  </si>
  <si>
    <t>Income</t>
  </si>
  <si>
    <t>Other Grants &amp; Payments</t>
  </si>
  <si>
    <t>Income from Catering</t>
  </si>
  <si>
    <t>Income from Contributions to visits</t>
  </si>
  <si>
    <t>Donations and/or voluntary funds</t>
  </si>
  <si>
    <t>Additional Grants for Schools</t>
  </si>
  <si>
    <t>Primary PE Grant</t>
  </si>
  <si>
    <t>Universal Infant Free School Meals Grant</t>
  </si>
  <si>
    <t>TOTAL - Pupil Focused Revenue Funding &amp; Income</t>
  </si>
  <si>
    <t>Receipts from Supply Teacher Insurance Claims</t>
  </si>
  <si>
    <t>PUPIL FOCUSED REVENUE FUNDING &amp; INCOME</t>
  </si>
  <si>
    <t>Teaching Staff</t>
  </si>
  <si>
    <t>Premises Staff</t>
  </si>
  <si>
    <t>Catering Staff</t>
  </si>
  <si>
    <t>Development &amp; Training</t>
  </si>
  <si>
    <t>Supply Teacher Insurance</t>
  </si>
  <si>
    <t>Staff Related Insurance</t>
  </si>
  <si>
    <t>PUPIL FOCUSED REVENUE EXPENDITURE</t>
  </si>
  <si>
    <t>Building Maintenance &amp; Improvement</t>
  </si>
  <si>
    <t>Grounds Maintenance &amp; Improvement</t>
  </si>
  <si>
    <t>Cleaning &amp; Caretaking</t>
  </si>
  <si>
    <t>Water &amp; Sewerage</t>
  </si>
  <si>
    <t>Energy</t>
  </si>
  <si>
    <t>Other Occupation Costs</t>
  </si>
  <si>
    <t>TOTAL PREMISES</t>
  </si>
  <si>
    <t>TOTAL STAFFING</t>
  </si>
  <si>
    <t>SUPPLIES &amp; SERVICES</t>
  </si>
  <si>
    <t>Learning Resources (NOT ICT equipment)</t>
  </si>
  <si>
    <t>ICT Learning Resources</t>
  </si>
  <si>
    <t>Examination Fees</t>
  </si>
  <si>
    <t>Administrative Supplies</t>
  </si>
  <si>
    <t>Other Insurance Premiums</t>
  </si>
  <si>
    <t>Special Facilities</t>
  </si>
  <si>
    <t>Catering Supplies</t>
  </si>
  <si>
    <t>Agency Supply Teaching Staff</t>
  </si>
  <si>
    <t>Bought in Professional Services - Curriculum</t>
  </si>
  <si>
    <t>Bought in Professional Services - Other</t>
  </si>
  <si>
    <t>TOTAL SUPPLIES &amp; SERVICES</t>
  </si>
  <si>
    <t>Education Support Staff</t>
  </si>
  <si>
    <t>Administrative &amp; Clerical Staff</t>
  </si>
  <si>
    <t>Staffing</t>
  </si>
  <si>
    <t>Full Time Equivalent</t>
  </si>
  <si>
    <t>NCY</t>
  </si>
  <si>
    <t>N</t>
  </si>
  <si>
    <t>Telephone No</t>
  </si>
  <si>
    <t>email</t>
  </si>
  <si>
    <t>(Actual)</t>
  </si>
  <si>
    <t>DfE No (4 digits)</t>
  </si>
  <si>
    <t>EB1E2000</t>
  </si>
  <si>
    <t>EB1E3000</t>
  </si>
  <si>
    <t>EB1E3700</t>
  </si>
  <si>
    <t>EB1E5300</t>
  </si>
  <si>
    <t>ECCE2012</t>
  </si>
  <si>
    <t>ECCE2013</t>
  </si>
  <si>
    <t>Ongar Place Primary School</t>
  </si>
  <si>
    <t>ECCE2016</t>
  </si>
  <si>
    <t>ECCE2020</t>
  </si>
  <si>
    <t>ECCE2021</t>
  </si>
  <si>
    <t>ECCE2033</t>
  </si>
  <si>
    <t>Stepgates Community School</t>
  </si>
  <si>
    <t>ECCE2117</t>
  </si>
  <si>
    <t>Heather Ridge Infant School</t>
  </si>
  <si>
    <t>ECCE2118</t>
  </si>
  <si>
    <t>ECCE2123</t>
  </si>
  <si>
    <t>Bagshot Infant School</t>
  </si>
  <si>
    <t>ECCE2222</t>
  </si>
  <si>
    <t>ECCE2523</t>
  </si>
  <si>
    <t>ECCE2525</t>
  </si>
  <si>
    <t>ECCE2526</t>
  </si>
  <si>
    <t>ECCE2534</t>
  </si>
  <si>
    <t>ECCE2536</t>
  </si>
  <si>
    <t>ECCE2539</t>
  </si>
  <si>
    <t>ECCE2540</t>
  </si>
  <si>
    <t>ECCE2547</t>
  </si>
  <si>
    <t>ECCE2548</t>
  </si>
  <si>
    <t>ECCE2550</t>
  </si>
  <si>
    <t>ECDE014H</t>
  </si>
  <si>
    <t>ECDE022H</t>
  </si>
  <si>
    <t>ECDE3612</t>
  </si>
  <si>
    <t>ECDE3622</t>
  </si>
  <si>
    <t>ECDE3628</t>
  </si>
  <si>
    <t>St Joseph's Catholic Primary School</t>
  </si>
  <si>
    <t>ECDE3720</t>
  </si>
  <si>
    <t>ECDE3721</t>
  </si>
  <si>
    <t>ECDE3722</t>
  </si>
  <si>
    <t>ECDE3723</t>
  </si>
  <si>
    <t>ECDE3724</t>
  </si>
  <si>
    <t>ECDE3725</t>
  </si>
  <si>
    <t>ECDE3901</t>
  </si>
  <si>
    <t>ECDE3905</t>
  </si>
  <si>
    <t>Onslow Infant School</t>
  </si>
  <si>
    <t>ECDE4107</t>
  </si>
  <si>
    <t>ECDE4117</t>
  </si>
  <si>
    <t>ECDE4122</t>
  </si>
  <si>
    <t>ECDE4126</t>
  </si>
  <si>
    <t>ECDE4127</t>
  </si>
  <si>
    <t>ECDE4130</t>
  </si>
  <si>
    <t>ECDE4131</t>
  </si>
  <si>
    <t>Milford School</t>
  </si>
  <si>
    <t>ECDE4132</t>
  </si>
  <si>
    <t>ECDE4133</t>
  </si>
  <si>
    <t>ECDE4139</t>
  </si>
  <si>
    <t>Godalming Junior School</t>
  </si>
  <si>
    <t>ECDE4143</t>
  </si>
  <si>
    <t>Moss Lane School</t>
  </si>
  <si>
    <t>ECDE4145</t>
  </si>
  <si>
    <t>ECDE4148</t>
  </si>
  <si>
    <t>ECDE4150</t>
  </si>
  <si>
    <t>ECDE4151</t>
  </si>
  <si>
    <t>ECDE5321</t>
  </si>
  <si>
    <t>ECEE017H</t>
  </si>
  <si>
    <t>ECEE029H</t>
  </si>
  <si>
    <t>Wallace Fields Junior School</t>
  </si>
  <si>
    <t>ECEE0411</t>
  </si>
  <si>
    <t>ECEE0413</t>
  </si>
  <si>
    <t>ECEE0417</t>
  </si>
  <si>
    <t>Oatlands School</t>
  </si>
  <si>
    <t>ECEE0422</t>
  </si>
  <si>
    <t>ECEE0423</t>
  </si>
  <si>
    <t>Manby Lodge Infant School</t>
  </si>
  <si>
    <t>ECEE0425</t>
  </si>
  <si>
    <t>Chandlers Field Primary School</t>
  </si>
  <si>
    <t>ECEE0426</t>
  </si>
  <si>
    <t>ECEE0521</t>
  </si>
  <si>
    <t>ECEE0601</t>
  </si>
  <si>
    <t>ECEE0604</t>
  </si>
  <si>
    <t>Bell Farm Primary School</t>
  </si>
  <si>
    <t>ECEE0902</t>
  </si>
  <si>
    <t>Thames Ditton Infant School</t>
  </si>
  <si>
    <t>ECEE0905</t>
  </si>
  <si>
    <t>ECEE0909</t>
  </si>
  <si>
    <t>ECEE0910</t>
  </si>
  <si>
    <t>ECEE0920</t>
  </si>
  <si>
    <t>Claygate Primary School</t>
  </si>
  <si>
    <t>ECEE0924</t>
  </si>
  <si>
    <t>ECEE0927</t>
  </si>
  <si>
    <t>ECEE0929</t>
  </si>
  <si>
    <t>ECEE0934</t>
  </si>
  <si>
    <t>ECEE0937</t>
  </si>
  <si>
    <t>ECEE0945</t>
  </si>
  <si>
    <t>ECEE0948</t>
  </si>
  <si>
    <t>Buckland Primary School</t>
  </si>
  <si>
    <t>ECEE5216</t>
  </si>
  <si>
    <t>ECEE5218</t>
  </si>
  <si>
    <t>Stamford Green Primary School</t>
  </si>
  <si>
    <t>ECEE5221</t>
  </si>
  <si>
    <t>ECEE5223</t>
  </si>
  <si>
    <t>ECEE5700</t>
  </si>
  <si>
    <t>ECEE5720</t>
  </si>
  <si>
    <t>Southfield Park Primary School</t>
  </si>
  <si>
    <t>ECFE016H</t>
  </si>
  <si>
    <t>ECFE028H</t>
  </si>
  <si>
    <t>Tadworth Primary School</t>
  </si>
  <si>
    <t>ECFE034H</t>
  </si>
  <si>
    <t>ECFE5310</t>
  </si>
  <si>
    <t>ECFE5314</t>
  </si>
  <si>
    <t>ECFE5315</t>
  </si>
  <si>
    <t>ECFE5701</t>
  </si>
  <si>
    <t>Fetcham Village Infant School</t>
  </si>
  <si>
    <t>ECFE5705</t>
  </si>
  <si>
    <t>ECFE5707</t>
  </si>
  <si>
    <t>ECFE5709</t>
  </si>
  <si>
    <t>Barnett Wood Infant School</t>
  </si>
  <si>
    <t>ECFE5710</t>
  </si>
  <si>
    <t>ECFE5711</t>
  </si>
  <si>
    <t>ECFE5712</t>
  </si>
  <si>
    <t>The Greville Primary School</t>
  </si>
  <si>
    <t>ECFE5713</t>
  </si>
  <si>
    <t>Oakfield Junior School</t>
  </si>
  <si>
    <t>ECFE5717</t>
  </si>
  <si>
    <t>ECFE8615</t>
  </si>
  <si>
    <t>ECFE8625</t>
  </si>
  <si>
    <t>ECFE8628</t>
  </si>
  <si>
    <t>ECFE8717</t>
  </si>
  <si>
    <t>Dormansland Primary School</t>
  </si>
  <si>
    <t>ECFE8719</t>
  </si>
  <si>
    <t>ECFE8723</t>
  </si>
  <si>
    <t>ECFE8727</t>
  </si>
  <si>
    <t>Lingfield Primary School</t>
  </si>
  <si>
    <t>ECFE8728</t>
  </si>
  <si>
    <t>ECFE8729</t>
  </si>
  <si>
    <t>ECFE8800</t>
  </si>
  <si>
    <t>ECFE8808</t>
  </si>
  <si>
    <t>ECFE890H</t>
  </si>
  <si>
    <t>ECFE9101</t>
  </si>
  <si>
    <t>St Anne's Catholic Primary School</t>
  </si>
  <si>
    <t>ECFE9105</t>
  </si>
  <si>
    <t>Meath Green Junior School</t>
  </si>
  <si>
    <t>ECFE9118</t>
  </si>
  <si>
    <t>ECFE9119</t>
  </si>
  <si>
    <t>Audley Primary School</t>
  </si>
  <si>
    <t>ECFE9150</t>
  </si>
  <si>
    <t>ECFE9155</t>
  </si>
  <si>
    <t>EDCE617H</t>
  </si>
  <si>
    <t>EDCE619H</t>
  </si>
  <si>
    <t>EDFE5723</t>
  </si>
  <si>
    <t>EDFE9003</t>
  </si>
  <si>
    <t>St Bede's School</t>
  </si>
  <si>
    <t>EDFE9137</t>
  </si>
  <si>
    <t>Oakwood School</t>
  </si>
  <si>
    <t>Ashford Park Primary School</t>
  </si>
  <si>
    <t>Badshot Lea Village Infant School</t>
  </si>
  <si>
    <t>Banstead Community Junior School</t>
  </si>
  <si>
    <t>Chertsey Nursery School</t>
  </si>
  <si>
    <t>Clarendon Primary School</t>
  </si>
  <si>
    <t>Cranmere Primary School</t>
  </si>
  <si>
    <t>Dorking Nursery School</t>
  </si>
  <si>
    <t>Manorcroft Primary School</t>
  </si>
  <si>
    <t>Meadowcroft Community Infant School</t>
  </si>
  <si>
    <t>Meath Green Infant School</t>
  </si>
  <si>
    <t>Shawfield Primary School</t>
  </si>
  <si>
    <t>Shottermill Infant School</t>
  </si>
  <si>
    <t>Shottermill Junior School</t>
  </si>
  <si>
    <t>St Ann's Heath Junior School</t>
  </si>
  <si>
    <t>St Peter's Catholic Primary School</t>
  </si>
  <si>
    <t>Thorpe Lea Primary School</t>
  </si>
  <si>
    <t>Trumps Green Infant School</t>
  </si>
  <si>
    <t>West Byfleet Junior School</t>
  </si>
  <si>
    <t>Wood Street Infant School</t>
  </si>
  <si>
    <t>Worplesdon Primary School</t>
  </si>
  <si>
    <t/>
  </si>
  <si>
    <t>FROM PREVIOUS FINANCIAL YEAR</t>
  </si>
  <si>
    <t>COMMUNITY FOCUSED REVENUE FUNDING &amp; INCOME</t>
  </si>
  <si>
    <t>Community Focused School Funding and/or grants</t>
  </si>
  <si>
    <t>Fees</t>
  </si>
  <si>
    <t>Lettings/Service Charge</t>
  </si>
  <si>
    <t>Community Focused School Facilities Income</t>
  </si>
  <si>
    <t>TOTAL - Community Focused Revenue Funding &amp; Income</t>
  </si>
  <si>
    <t>COMMUNITY FOCUSED REVENUE EXPENDITURE</t>
  </si>
  <si>
    <t>Community Focused School Staff</t>
  </si>
  <si>
    <t>Community Focused School Costs</t>
  </si>
  <si>
    <t>Training</t>
  </si>
  <si>
    <t>Recruitment</t>
  </si>
  <si>
    <t>Indirect Employee Expenses</t>
  </si>
  <si>
    <t>Community Focused School Costs (Continued)</t>
  </si>
  <si>
    <t>Building maintenance/contracts</t>
  </si>
  <si>
    <t>Grounds maintenance</t>
  </si>
  <si>
    <t>Cleaning</t>
  </si>
  <si>
    <t>Utilities</t>
  </si>
  <si>
    <t>Consumables &amp; Resources</t>
  </si>
  <si>
    <t>Equipment</t>
  </si>
  <si>
    <t>Administration services</t>
  </si>
  <si>
    <t>Other insurance</t>
  </si>
  <si>
    <t>Bought-in services</t>
  </si>
  <si>
    <t>PUPIL FOCUSED REVENUE BALANCES AT YEAR-END</t>
  </si>
  <si>
    <t>Committed revenue balances</t>
  </si>
  <si>
    <t>TOTAL BALANCE TO CARRY FORWARD</t>
  </si>
  <si>
    <t>In-Year Surplus or Deficit</t>
  </si>
  <si>
    <t>CAPITAL BALANCES BROUGHT FORWARD</t>
  </si>
  <si>
    <t>Other Capital Balances</t>
  </si>
  <si>
    <t>CAPITAL FUNDING &amp; INCOME</t>
  </si>
  <si>
    <t>Devolved Formula Capital</t>
  </si>
  <si>
    <t>Private Income</t>
  </si>
  <si>
    <t>Miscellaneous Capital Grants</t>
  </si>
  <si>
    <t>Direct revenue financing (revenue contributions to capital linked to E30)</t>
  </si>
  <si>
    <t>TOTAL - Capital Funding &amp; Income</t>
  </si>
  <si>
    <t>CAPITAL EXPENDITURE</t>
  </si>
  <si>
    <t>Vehicles, plant, equipment &amp; machinery</t>
  </si>
  <si>
    <t>TOTAL - Pupil Focused Revenue Expenditure</t>
  </si>
  <si>
    <t>TOTAL - Community Focused Revenue Expenditure</t>
  </si>
  <si>
    <t>COMMUNITY FOCUSED REVENUE BALANCES AT YEAR-END</t>
  </si>
  <si>
    <t>TOTAL - Capital Expenditure</t>
  </si>
  <si>
    <t>CAPITAL BALANCES AT YEAR-END</t>
  </si>
  <si>
    <t>BUDGET PLAN APPROVAL</t>
  </si>
  <si>
    <t>Name:</t>
  </si>
  <si>
    <t>Date:</t>
  </si>
  <si>
    <t>Line No</t>
  </si>
  <si>
    <t>Notes</t>
  </si>
  <si>
    <t>CFR</t>
  </si>
  <si>
    <t>Please record any supporting notes to your budget plan against the relevant CFR heading &amp; Line Number.</t>
  </si>
  <si>
    <t>Any comments not relating to specific lines of the budget plan should be recorded in the general section at the end.</t>
  </si>
  <si>
    <t>General Comments</t>
  </si>
  <si>
    <t>Balance to Carry Forward</t>
  </si>
  <si>
    <t>School &amp; Consultant Data</t>
  </si>
  <si>
    <t>Detailed guidance regarding the completion of the budget plan is contained in Section A of the Finance Manual.</t>
  </si>
  <si>
    <t>Sheet</t>
  </si>
  <si>
    <t>Item</t>
  </si>
  <si>
    <t>School &amp; Other Info</t>
  </si>
  <si>
    <t>Contact Phone No</t>
  </si>
  <si>
    <t>Pupil Focused Expenditure</t>
  </si>
  <si>
    <t>Capital Expenditure</t>
  </si>
  <si>
    <t>(Forecast)</t>
  </si>
  <si>
    <t>Pre Submission Checklist</t>
  </si>
  <si>
    <t>Planned Local Income</t>
  </si>
  <si>
    <t>Expenditure to be paid centrally</t>
  </si>
  <si>
    <t>Less:-</t>
  </si>
  <si>
    <t>Surplus balance b/fwd from previous year</t>
  </si>
  <si>
    <t>Annual Sum</t>
  </si>
  <si>
    <t>REVENUE TRANCHE CALCULATION</t>
  </si>
  <si>
    <t>Summer Term</t>
  </si>
  <si>
    <t>ANNUAL SUM CALCULATION</t>
  </si>
  <si>
    <t>Autumn Term</t>
  </si>
  <si>
    <t>Spring Term</t>
  </si>
  <si>
    <t>TRANCHE PAYMENTS</t>
  </si>
  <si>
    <t>Draft or Final</t>
  </si>
  <si>
    <t>Staffing FTE</t>
  </si>
  <si>
    <t>Actual Date</t>
  </si>
  <si>
    <t>NOR Data</t>
  </si>
  <si>
    <t>Budget Plan - Set-Up Data</t>
  </si>
  <si>
    <t>Data Input to white cells only - sheet must be unprotected to enable data input</t>
  </si>
  <si>
    <t>Submission Date</t>
  </si>
  <si>
    <t>Devolved Formula Capital Balance</t>
  </si>
  <si>
    <t>Financial Year</t>
  </si>
  <si>
    <t>Pupil Focused Extended School Grants</t>
  </si>
  <si>
    <t>R</t>
  </si>
  <si>
    <t>Other Staff</t>
  </si>
  <si>
    <t>Ash Manor School</t>
  </si>
  <si>
    <t>Royal Alexandra and Albert School</t>
  </si>
  <si>
    <t>EDDE4005</t>
  </si>
  <si>
    <t>EDFE9131</t>
  </si>
  <si>
    <t>The budget plan has been agreed by the governing body</t>
  </si>
  <si>
    <t>Instructions</t>
  </si>
  <si>
    <t>All Saints CofE Aided Infant School</t>
  </si>
  <si>
    <t>Ashford CofE Primary School</t>
  </si>
  <si>
    <t>Beacon Hill Community Primary School</t>
  </si>
  <si>
    <t>Bisley CofE Primary School</t>
  </si>
  <si>
    <t>Busbridge CofE Aided Junior School</t>
  </si>
  <si>
    <t>Chilworth CofE (Aided) Infant School</t>
  </si>
  <si>
    <t>Epsom Downs Primary School and Children's Centre</t>
  </si>
  <si>
    <t>Ewhurst CofE Aided Infant School</t>
  </si>
  <si>
    <t>Furzefield Primary School</t>
  </si>
  <si>
    <t>Grayswood Church of England (Aided) Primary School</t>
  </si>
  <si>
    <t>Grovelands Primary School</t>
  </si>
  <si>
    <t>Horsell CofE Aided Junior School</t>
  </si>
  <si>
    <t>Hythe Primary School</t>
  </si>
  <si>
    <t>Kings International College</t>
  </si>
  <si>
    <t>Laleham CofE VA Primary School</t>
  </si>
  <si>
    <t>Langshott Primary School</t>
  </si>
  <si>
    <t>Limpsfield CofE Infant School</t>
  </si>
  <si>
    <t>Littleton CofE Infant School</t>
  </si>
  <si>
    <t>Long Ditton Infant and Nursery School</t>
  </si>
  <si>
    <t>Long Ditton St Mary's CofE (Aided) Junior School</t>
  </si>
  <si>
    <t>Lyne and Longcross CofE Aided Primary School</t>
  </si>
  <si>
    <t>Manorfield Primary and Nursery School</t>
  </si>
  <si>
    <t>Merrow CofE Controlled Infant School</t>
  </si>
  <si>
    <t>Newdigate CofE Endowed Aided Infant School</t>
  </si>
  <si>
    <t>North Downs Primary School</t>
  </si>
  <si>
    <t>Nutfield Church CofE Primary School</t>
  </si>
  <si>
    <t>Park Mead Primary</t>
  </si>
  <si>
    <t>Polesden Lacey Infant School</t>
  </si>
  <si>
    <t>Prior Heath Infant School</t>
  </si>
  <si>
    <t>Reigate Priory Community Junior School</t>
  </si>
  <si>
    <t>Riverview CofE Primary and Nursery School VA</t>
  </si>
  <si>
    <t>St Andrew's Catholic School</t>
  </si>
  <si>
    <t>St Bartholomew's CofE Aided Primary School</t>
  </si>
  <si>
    <t>St Clement's Catholic Primary School</t>
  </si>
  <si>
    <t>St Dunstan's Catholic Primary School, Woking</t>
  </si>
  <si>
    <t>St Giles' CofE (Aided) Infant School</t>
  </si>
  <si>
    <t>St James CofE Aided Primary School</t>
  </si>
  <si>
    <t>St James CofE Primary School</t>
  </si>
  <si>
    <t>St John's CofE Aided Infant School</t>
  </si>
  <si>
    <t>St John's CofE Aided Primary School</t>
  </si>
  <si>
    <t>St Lawrence CofE (Aided) Primary School</t>
  </si>
  <si>
    <t>St Lawrence CofE Aided Junior School, East Molesey</t>
  </si>
  <si>
    <t>St Mary's CofE Aided Infant School, Frensham</t>
  </si>
  <si>
    <t>St Mary's CofE Controlled Primary School, Byfleet</t>
  </si>
  <si>
    <t>St Mary's CofE Voluntary Controlled Infant School</t>
  </si>
  <si>
    <t>St Matthew's CofE Aided Infant School, Cobham</t>
  </si>
  <si>
    <t>St Michael's CofE Aided Infant School</t>
  </si>
  <si>
    <t>St Nicholas CofE Primary School</t>
  </si>
  <si>
    <t>St Nicolas CofE Aided Infant School</t>
  </si>
  <si>
    <t>St Paul's Catholic Primary School, Thames Ditton</t>
  </si>
  <si>
    <t>St Paul's CofE (Aided) Primary School</t>
  </si>
  <si>
    <t>St Peter and St Paul CofE Infant School</t>
  </si>
  <si>
    <t>St Peter's CofE Infant School</t>
  </si>
  <si>
    <t>St Peter's CofE Primary School</t>
  </si>
  <si>
    <t>The Chandler CofE Aided Junior School</t>
  </si>
  <si>
    <t>The Grange Community Infant School</t>
  </si>
  <si>
    <t>The Orchard Infant School</t>
  </si>
  <si>
    <t>The Royal Kent CofE Primary School</t>
  </si>
  <si>
    <t>The Winston Churchill School A Specialist Sports College</t>
  </si>
  <si>
    <t>Thorpe CofE Aided Primary School</t>
  </si>
  <si>
    <t>Trinity Oaks Church of England Primary School</t>
  </si>
  <si>
    <t>Walton-on-the-Hill Primary School</t>
  </si>
  <si>
    <t>West Byfleet Infant School</t>
  </si>
  <si>
    <t>William Cobbett Primary School</t>
  </si>
  <si>
    <t>Witley CofE Controlled Infant School</t>
  </si>
  <si>
    <t>Wonersh and Shamley Green CofE Aided Primary School</t>
  </si>
  <si>
    <t>setups</t>
  </si>
  <si>
    <r>
      <t xml:space="preserve">A paper copy of the </t>
    </r>
    <r>
      <rPr>
        <b/>
        <i/>
        <u/>
        <sz val="10"/>
        <rFont val="Arial"/>
        <family val="2"/>
      </rPr>
      <t>final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>budget plan must be signed by the Chair of Governors and retained in school.</t>
    </r>
  </si>
  <si>
    <t>Mainstream Schools</t>
  </si>
  <si>
    <t>School Business Manager</t>
  </si>
  <si>
    <t>Title</t>
  </si>
  <si>
    <t>First Name</t>
  </si>
  <si>
    <t>Last Name</t>
  </si>
  <si>
    <t>Miss</t>
  </si>
  <si>
    <t>Headteacher</t>
  </si>
  <si>
    <t>Lady</t>
  </si>
  <si>
    <t>The following sheets will require updating for each budget plan:-</t>
  </si>
  <si>
    <t>Titles</t>
  </si>
  <si>
    <t>Mr</t>
  </si>
  <si>
    <t>Mrs</t>
  </si>
  <si>
    <t>Dr</t>
  </si>
  <si>
    <t>Sir</t>
  </si>
  <si>
    <t>Contact Names</t>
  </si>
  <si>
    <t>Contact emails</t>
  </si>
  <si>
    <t>Draft / Final Budget</t>
  </si>
  <si>
    <t>Intro Sheet:</t>
  </si>
  <si>
    <t>Update CFR references and link to latest framework</t>
  </si>
  <si>
    <t>ECEEF101</t>
  </si>
  <si>
    <t>ECFEF102</t>
  </si>
  <si>
    <t>ECDEF10H</t>
  </si>
  <si>
    <t>Prior Year Vacancy adjustment</t>
  </si>
  <si>
    <t>Supply Teaching Staff</t>
  </si>
  <si>
    <t xml:space="preserve">Education Support Staff </t>
  </si>
  <si>
    <t xml:space="preserve">Premises Staff </t>
  </si>
  <si>
    <t xml:space="preserve">Admin &amp; Clerical Staff </t>
  </si>
  <si>
    <t xml:space="preserve">Catering Staff </t>
  </si>
  <si>
    <t xml:space="preserve">Costs of Other Staff </t>
  </si>
  <si>
    <t>Operational Staff</t>
  </si>
  <si>
    <t>Support Staff</t>
  </si>
  <si>
    <t>Ewell Grove Primary and Nursery School</t>
  </si>
  <si>
    <t>Chennestone &amp; Beauclerc Schools</t>
  </si>
  <si>
    <t>Finance Support Provider</t>
  </si>
  <si>
    <t>Trf to Pupil Focused Brought Forward (Links to line 3)</t>
  </si>
  <si>
    <t>schools.budgets@surreycc.gov.uk</t>
  </si>
  <si>
    <t>Control</t>
  </si>
  <si>
    <t>VA</t>
  </si>
  <si>
    <t>Federated schools managing a single budget - enter lowest DfE number</t>
  </si>
  <si>
    <t>School 'E' Code / Control</t>
  </si>
  <si>
    <t>lookups - with details of schools etc</t>
  </si>
  <si>
    <t>Ms</t>
  </si>
  <si>
    <t>OB01</t>
  </si>
  <si>
    <t>OB02</t>
  </si>
  <si>
    <t>Funds Delegated by the Local Authority</t>
  </si>
  <si>
    <t>Delegated formula funding (budget share)</t>
  </si>
  <si>
    <r>
      <t xml:space="preserve">De-delegation &amp; central services levy - </t>
    </r>
    <r>
      <rPr>
        <b/>
        <sz val="10"/>
        <color rgb="FFFF0000"/>
        <rFont val="Arial"/>
        <family val="2"/>
      </rPr>
      <t>enter as negative</t>
    </r>
  </si>
  <si>
    <t>Funding for Vacancies in existing bulge/additional classes</t>
  </si>
  <si>
    <r>
      <t xml:space="preserve">Prior Year Contingency adjustment - </t>
    </r>
    <r>
      <rPr>
        <b/>
        <sz val="10"/>
        <color rgb="FFFF0000"/>
        <rFont val="Arial"/>
        <family val="2"/>
      </rPr>
      <t>enter as negative</t>
    </r>
  </si>
  <si>
    <r>
      <t xml:space="preserve">Deduction for loan repayment to authority - </t>
    </r>
    <r>
      <rPr>
        <b/>
        <sz val="10"/>
        <color rgb="FFFF0000"/>
        <rFont val="Arial"/>
        <family val="2"/>
      </rPr>
      <t>enter as negative</t>
    </r>
  </si>
  <si>
    <t>Other I01 funding - please overtype this box to specify</t>
  </si>
  <si>
    <t>Falling rolls fund allocations</t>
  </si>
  <si>
    <t>Sixth form funding from ESFA including sixth form SEN centre place funding</t>
  </si>
  <si>
    <t>Other I02 funding - please overtype this box to specify</t>
  </si>
  <si>
    <t>Other I03 funding - please overtype this box to specify</t>
  </si>
  <si>
    <t>ISPSB (EHCP Points funding) - full year estimate</t>
  </si>
  <si>
    <t>SEN Centre pupil top-up funding - full year estimate</t>
  </si>
  <si>
    <t>Deprivation Pupil Premium</t>
  </si>
  <si>
    <t>Post LAC (Adopted) Pupil Premium</t>
  </si>
  <si>
    <t>Service Pupil Premium</t>
  </si>
  <si>
    <t>Pupil Premium Income from Other Local Authorities</t>
  </si>
  <si>
    <t>Early Years Pupil Premium</t>
  </si>
  <si>
    <t>Looked After Child (LAC) Pupil Premium</t>
  </si>
  <si>
    <t>Other I18 funding - please overtype this box to specify</t>
  </si>
  <si>
    <t>Notes &amp; Warnings:</t>
  </si>
  <si>
    <t>I08b</t>
  </si>
  <si>
    <t>I08a</t>
  </si>
  <si>
    <t>Income from letting premises</t>
  </si>
  <si>
    <t>Outreach/Nurture Group Funding</t>
  </si>
  <si>
    <t>Other I08b income - please overtype this box to specify</t>
  </si>
  <si>
    <r>
      <t xml:space="preserve">Indirect Employee Exp. </t>
    </r>
    <r>
      <rPr>
        <b/>
        <sz val="10"/>
        <color rgb="FFFF0000"/>
        <rFont val="Arial"/>
        <family val="2"/>
      </rPr>
      <t>(inc apprenticeship levy if applicable)</t>
    </r>
  </si>
  <si>
    <t>OB02a</t>
  </si>
  <si>
    <t>OB01a</t>
  </si>
  <si>
    <t>OB01b</t>
  </si>
  <si>
    <t>OB03a</t>
  </si>
  <si>
    <t>OB03b</t>
  </si>
  <si>
    <t>Other I16 funding - please overtype this box to specify</t>
  </si>
  <si>
    <t>Other I16 income - please overtype this box to specify</t>
  </si>
  <si>
    <t>Other I17 income - please overtype this box to specify</t>
  </si>
  <si>
    <t>TOTAL - Community Focused Brought Forward Balances</t>
  </si>
  <si>
    <t>TOTAL - Pupil Focused Brought Forward Balances</t>
  </si>
  <si>
    <t>Other E32 employee costs - please overtype this box to specify</t>
  </si>
  <si>
    <t>Other E32 premises costs - please overtype this box to specify</t>
  </si>
  <si>
    <t>Other E32 supplies &amp; services costs - please overtype this box to specify</t>
  </si>
  <si>
    <t>COMMUNITY FOCUSED REVENUE BALANCES BROUGHT FORWARD - from previous financial year</t>
  </si>
  <si>
    <t>TOTAL - Capital Brought Forward Balances</t>
  </si>
  <si>
    <t>Error Count</t>
  </si>
  <si>
    <t>PUPIL FOCUSED REVENUE BALANCES BROUGHT FORWARD - from previous financial year</t>
  </si>
  <si>
    <t>Pupil Focused Staffing</t>
  </si>
  <si>
    <t>Pupil Focused Premises</t>
  </si>
  <si>
    <t>Pupil Focused Supplies &amp; Services</t>
  </si>
  <si>
    <t>Transfer from Community Focused B/fwd</t>
  </si>
  <si>
    <t>Year 1</t>
  </si>
  <si>
    <t>Year 2</t>
  </si>
  <si>
    <t>Year 3</t>
  </si>
  <si>
    <t>Funds delegated by the Local Authority</t>
  </si>
  <si>
    <t>I04</t>
  </si>
  <si>
    <t>Funding for Minority Ethnic Pupils</t>
  </si>
  <si>
    <t>Other Grants and Payments Received</t>
  </si>
  <si>
    <t>Income from Letting Premises</t>
  </si>
  <si>
    <t>Other Income from Facilities &amp; Services</t>
  </si>
  <si>
    <t>Receipts from Other Insurance Claims</t>
  </si>
  <si>
    <t>Income from Contributions to Visits etc.</t>
  </si>
  <si>
    <t>Donations and/or Voluntary Funds</t>
  </si>
  <si>
    <t>Additional Grant for Schools</t>
  </si>
  <si>
    <t>Direct Revenue Financing (Revenue Cont. to Capital)</t>
  </si>
  <si>
    <t>Pupil Focused Revenue Brought Forward Balances</t>
  </si>
  <si>
    <t>Community Focused Revenue Brought Forward Balances</t>
  </si>
  <si>
    <t>Community Focused Revenue Funding &amp; Income</t>
  </si>
  <si>
    <t>Community Focused Revenue Expenditure</t>
  </si>
  <si>
    <t>Pupil Focused Revenue Balances At Year-End</t>
  </si>
  <si>
    <t>Learning Resources</t>
  </si>
  <si>
    <t>Community Focused Brought Forward</t>
  </si>
  <si>
    <t>Transfer to Pupil Focused Brought Forward</t>
  </si>
  <si>
    <t>Pupil Focused Revenue Funding &amp; Income</t>
  </si>
  <si>
    <t>Community Focused Revenue Balances At Year-End</t>
  </si>
  <si>
    <t>Capital Brought Forward Balances</t>
  </si>
  <si>
    <t>Capital Funding and Income</t>
  </si>
  <si>
    <t>Capital income</t>
  </si>
  <si>
    <t>Voluntary or Private Income</t>
  </si>
  <si>
    <t>Acquisition of Land &amp; Existing Buildings</t>
  </si>
  <si>
    <t>New Construction, Conversion &amp; Renovation</t>
  </si>
  <si>
    <t>Vehicles, Plant, Equipment &amp; Machinery</t>
  </si>
  <si>
    <t>Information &amp; Communication Technology</t>
  </si>
  <si>
    <t>Capital Balances At Year-End</t>
  </si>
  <si>
    <t>In-Year Surplus (Deficit)</t>
  </si>
  <si>
    <t>PUPIL FOCUSED</t>
  </si>
  <si>
    <t>COMMUNITY FOCUSED</t>
  </si>
  <si>
    <t>CAPITAL</t>
  </si>
  <si>
    <t>Current Year Outturn</t>
  </si>
  <si>
    <t>Balance Brought Forward from Previous Year</t>
  </si>
  <si>
    <t>In-Year Funding</t>
  </si>
  <si>
    <t>Pupil Focused Funding &amp; Income</t>
  </si>
  <si>
    <t>Premises</t>
  </si>
  <si>
    <t>Supplies &amp; Services</t>
  </si>
  <si>
    <t>In-Year Local Income</t>
  </si>
  <si>
    <t>Community Focused Funding &amp; Income (if any)</t>
  </si>
  <si>
    <t>Community Focused Expenditure (if any)</t>
  </si>
  <si>
    <t>Capital Funding &amp; Income (if any)</t>
  </si>
  <si>
    <t>Capital Expenditure (if any)</t>
  </si>
  <si>
    <t>Expenditure</t>
  </si>
  <si>
    <t>Community Focused Funding, Income &amp; Expenditure</t>
  </si>
  <si>
    <t>Pupil Focused Funding, Income &amp; Expenditure</t>
  </si>
  <si>
    <t>Forecast 1 Date</t>
  </si>
  <si>
    <t>Forecast 2 Date</t>
  </si>
  <si>
    <t>Hide Current Year Outturn Sheet</t>
  </si>
  <si>
    <t>Submission Email address</t>
  </si>
  <si>
    <t>Current Year Outturn heading</t>
  </si>
  <si>
    <t>Plan Name Yr1 heading</t>
  </si>
  <si>
    <t>Plan Name Yr2 heading</t>
  </si>
  <si>
    <t>Plan Name Yr3 heading</t>
  </si>
  <si>
    <t>Check Code</t>
  </si>
  <si>
    <r>
      <t>Enter</t>
    </r>
    <r>
      <rPr>
        <sz val="10"/>
        <color rgb="FFFF0000"/>
        <rFont val="Arial"/>
        <family val="2"/>
      </rPr>
      <t xml:space="preserve"> </t>
    </r>
    <r>
      <rPr>
        <u/>
        <sz val="10"/>
        <color rgb="FFFF0000"/>
        <rFont val="Arial"/>
        <family val="2"/>
      </rPr>
      <t>Number</t>
    </r>
    <r>
      <rPr>
        <sz val="10"/>
        <rFont val="Arial"/>
        <family val="2"/>
      </rPr>
      <t xml:space="preserve"> of Staff </t>
    </r>
    <r>
      <rPr>
        <u/>
        <sz val="10"/>
        <rFont val="Arial"/>
        <family val="2"/>
      </rPr>
      <t>NOT</t>
    </r>
    <r>
      <rPr>
        <sz val="10"/>
        <rFont val="Arial"/>
        <family val="2"/>
      </rPr>
      <t xml:space="preserve"> cost</t>
    </r>
  </si>
  <si>
    <t>CONTACT DETAILS</t>
  </si>
  <si>
    <t>NUMBERS ON ROLL</t>
  </si>
  <si>
    <t>Finance Support Providers:</t>
  </si>
  <si>
    <t>Other</t>
  </si>
  <si>
    <t>Budget Plan Year1</t>
  </si>
  <si>
    <t>Budget Plan Year 1</t>
  </si>
  <si>
    <t>Budget Plan Year 2</t>
  </si>
  <si>
    <t>Status</t>
  </si>
  <si>
    <t>Required</t>
  </si>
  <si>
    <t>All sections require completion</t>
  </si>
  <si>
    <t>Summary of October FMR</t>
  </si>
  <si>
    <t>Cells with a white background are available for data entry, all other cells are locked. The following sheets require data input:</t>
  </si>
  <si>
    <t>Current Year Outturn Forecast</t>
  </si>
  <si>
    <t>Error Scores</t>
  </si>
  <si>
    <t>FTE Staffing</t>
  </si>
  <si>
    <r>
      <t xml:space="preserve">Any notes or supporting information </t>
    </r>
    <r>
      <rPr>
        <b/>
        <u/>
        <sz val="11"/>
        <color rgb="FFFF0000"/>
        <rFont val="Arial"/>
        <family val="2"/>
      </rPr>
      <t>MUST</t>
    </r>
    <r>
      <rPr>
        <sz val="11"/>
        <color rgb="FFFF0000"/>
        <rFont val="Arial"/>
        <family val="2"/>
      </rPr>
      <t xml:space="preserve"> be included in the 'Notes' tab. Please </t>
    </r>
    <r>
      <rPr>
        <b/>
        <sz val="11"/>
        <color rgb="FFFF0000"/>
        <rFont val="Arial"/>
        <family val="2"/>
      </rPr>
      <t xml:space="preserve">DO NOT </t>
    </r>
    <r>
      <rPr>
        <sz val="11"/>
        <color rgb="FFFF0000"/>
        <rFont val="Arial"/>
        <family val="2"/>
      </rPr>
      <t>send separate documents or include notes</t>
    </r>
  </si>
  <si>
    <t>within the body of your email as they will not be recognised.</t>
  </si>
  <si>
    <t xml:space="preserve">It is the school's responsibility to ensure that the budget plan includes reasonable estimates of all elements of planned income and </t>
  </si>
  <si>
    <t>expenditure and accurately reflects the management decisions of the school.</t>
  </si>
  <si>
    <t>Trf to Pupil Focused Brought Forward (Links to OB01a)</t>
  </si>
  <si>
    <t>Tfr from Community Focused B/Fwd (links line OB02a)</t>
  </si>
  <si>
    <t>Committed Revenue Balances - links to Year 1</t>
  </si>
  <si>
    <t>Uncomitted Revenue Balances - links to Year 1</t>
  </si>
  <si>
    <t>Year 2 Forecasts</t>
  </si>
  <si>
    <t>Budget Plan Year 3</t>
  </si>
  <si>
    <t>Year 3 Forecasts</t>
  </si>
  <si>
    <t>COMMUNITY FOCUSED REVENUE BALANCES BROUGHT FORWARD</t>
  </si>
  <si>
    <t>PUPIL FOCUSED REVENUE BALANCES BROUGHT FORWARD</t>
  </si>
  <si>
    <t>Community Focused School Balances - links to Year 1</t>
  </si>
  <si>
    <t>Devolved Formula Capital Balance - links to Year 1</t>
  </si>
  <si>
    <t>Other Capital Balances - links to Year 1</t>
  </si>
  <si>
    <t>Committed Revenue Balances - links to Year 2</t>
  </si>
  <si>
    <t>Uncomitted Revenue Balances - links to Year 2</t>
  </si>
  <si>
    <t>Community Focused School Balances - links to Year 2</t>
  </si>
  <si>
    <t xml:space="preserve">CFR framework </t>
  </si>
  <si>
    <t xml:space="preserve">Detailed guidance as to the types of income or expenditure that should be included within each category is contained in the </t>
  </si>
  <si>
    <t>Total  Planned Expenditure &amp; YE balance</t>
  </si>
  <si>
    <t>Row No</t>
  </si>
  <si>
    <t>Com</t>
  </si>
  <si>
    <t>Foun</t>
  </si>
  <si>
    <t>Nur</t>
  </si>
  <si>
    <t>VC</t>
  </si>
  <si>
    <t>Number On Roll</t>
  </si>
  <si>
    <t>Direct Revenue Financing</t>
  </si>
  <si>
    <t>B01/02</t>
  </si>
  <si>
    <t>B03/05</t>
  </si>
  <si>
    <t>Devolved Formula Capital Balance - links to Year 2</t>
  </si>
  <si>
    <t>Other Capital Balances - links to Year 2</t>
  </si>
  <si>
    <t>Committed Balance</t>
  </si>
  <si>
    <t>Uncomitted Balance</t>
  </si>
  <si>
    <t>Total Balance To Carry Forward</t>
  </si>
  <si>
    <t>Total Balance to Carry Forward</t>
  </si>
  <si>
    <t>Other Capital Balance</t>
  </si>
  <si>
    <t>% of Funding</t>
  </si>
  <si>
    <t>Balance Brought Forward from Previous Yrs</t>
  </si>
  <si>
    <t>Pupil Focused Brought Forward-Committed</t>
  </si>
  <si>
    <t>Rcpts from Supply Teacher Insurance Claims</t>
  </si>
  <si>
    <t>Pupil Focused Extend. Sch Funding/Grants</t>
  </si>
  <si>
    <t>Bought in Prof. Services - Curriculum</t>
  </si>
  <si>
    <t>Bought in Prof. Services - Other</t>
  </si>
  <si>
    <t>Community Focused Sch Funding/Grants</t>
  </si>
  <si>
    <t>Community Focused Sch Facilities Income</t>
  </si>
  <si>
    <t>E Code</t>
  </si>
  <si>
    <t>Pupil Focused Brought Forward-Uncommitted</t>
  </si>
  <si>
    <t>Charlwood Village Primary School</t>
  </si>
  <si>
    <t>Hide/unhide line 33</t>
  </si>
  <si>
    <t>for Final budget plan when sheet is hidden enter 1 in each cell to ensure no error message on Intro Sheet</t>
  </si>
  <si>
    <t>Minimum funding guarantee protection</t>
  </si>
  <si>
    <t>IPSB (EHCP Points funding) - full year estimate</t>
  </si>
  <si>
    <t>Staffing:</t>
  </si>
  <si>
    <t>Pay Types</t>
  </si>
  <si>
    <t>TMS</t>
  </si>
  <si>
    <t>UPR</t>
  </si>
  <si>
    <t>S1/2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</si>
  <si>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</si>
  <si>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</si>
  <si>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</si>
  <si>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</si>
  <si>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</si>
  <si>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</si>
  <si>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</si>
  <si>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</si>
  <si>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</si>
  <si>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Savings Implementation Dates</t>
  </si>
  <si>
    <t>Posts</t>
  </si>
  <si>
    <t>Teacher</t>
  </si>
  <si>
    <t>Deputy HT</t>
  </si>
  <si>
    <t>Asst HT</t>
  </si>
  <si>
    <t>Admin</t>
  </si>
  <si>
    <t>Caretaker</t>
  </si>
  <si>
    <t>Caterer</t>
  </si>
  <si>
    <t>IT Tech</t>
  </si>
  <si>
    <t>Prem Asst</t>
  </si>
  <si>
    <t>Teach Asst</t>
  </si>
  <si>
    <t>Sch Bus Mgr</t>
  </si>
  <si>
    <t>Head Teacher</t>
  </si>
  <si>
    <t>L'ship</t>
  </si>
  <si>
    <t>v1</t>
  </si>
  <si>
    <t>Ash Grange Nursery and Primary School</t>
  </si>
  <si>
    <t>Burhill Primary School</t>
  </si>
  <si>
    <t>Farncombe Church of England Infant School</t>
  </si>
  <si>
    <t>Godstone Primary and Nursery School</t>
  </si>
  <si>
    <t>Guildford Nursery School and Family Centre</t>
  </si>
  <si>
    <t>Hawkedale Primary School</t>
  </si>
  <si>
    <t>Leatherhead Trinity School and Nursery</t>
  </si>
  <si>
    <t>Reigate Parish Church Primary  School</t>
  </si>
  <si>
    <t>Send CofE Primary School</t>
  </si>
  <si>
    <t>St Jude's Church of England Junior School</t>
  </si>
  <si>
    <t>St Mary's CofE Primary School</t>
  </si>
  <si>
    <t>St Paul's CofE Infant School, Tongham</t>
  </si>
  <si>
    <t>The Wharf Nursery School &amp; Children's Centre</t>
  </si>
  <si>
    <t>Town Farm Primary School &amp; Nursery</t>
  </si>
  <si>
    <t>Income from Premises &amp; Facilities &amp; Services</t>
  </si>
  <si>
    <t>Funding from SCC</t>
  </si>
  <si>
    <t>Primary PE Grant (I18D)</t>
  </si>
  <si>
    <t>Universal Infant Free School Meals Grant (I18D)</t>
  </si>
  <si>
    <t>FEET funding paid as income</t>
  </si>
  <si>
    <t>Community-Focused Staff</t>
  </si>
  <si>
    <t>8 &amp; 9</t>
  </si>
  <si>
    <t>TOTAL (I01)</t>
  </si>
  <si>
    <t>TOTAL (I02)</t>
  </si>
  <si>
    <t>TOTAL (I03)</t>
  </si>
  <si>
    <t>TOTAL (I05)</t>
  </si>
  <si>
    <t>TOTAL (I06)</t>
  </si>
  <si>
    <t>Other Grants &amp; Payments (I07)</t>
  </si>
  <si>
    <t>TOTAL (I08)</t>
  </si>
  <si>
    <t>TOTAL (I18)</t>
  </si>
  <si>
    <t>TOTAL (I16)</t>
  </si>
  <si>
    <t>TOTAL (I17)</t>
  </si>
  <si>
    <t>TOTAL (E31)</t>
  </si>
  <si>
    <t>TOTAL (E32)</t>
  </si>
  <si>
    <t>nb schools with co-headteachers must choose one name.</t>
  </si>
  <si>
    <t>ECDE362H</t>
  </si>
  <si>
    <t>St Jude's C of E Infant School</t>
  </si>
  <si>
    <t>ECCE2532</t>
  </si>
  <si>
    <t>For primary schools:</t>
  </si>
  <si>
    <r>
      <t xml:space="preserve">Total number of classes </t>
    </r>
    <r>
      <rPr>
        <sz val="10"/>
        <rFont val="Arial"/>
        <family val="2"/>
      </rPr>
      <t>(excluding nursery)</t>
    </r>
  </si>
  <si>
    <t>Early Years Funded Entitlement</t>
  </si>
  <si>
    <t>Yes</t>
  </si>
  <si>
    <t>No</t>
  </si>
  <si>
    <t>Newlands CofE School Federation</t>
  </si>
  <si>
    <t>ECDEF108</t>
  </si>
  <si>
    <t>The Federation of Holy Trinity and Pewley Down Schools</t>
  </si>
  <si>
    <t>ECDEF35H</t>
  </si>
  <si>
    <t>Federation of Earlswood Schools</t>
  </si>
  <si>
    <t>Sep 2024</t>
  </si>
  <si>
    <t>Oct 2024</t>
  </si>
  <si>
    <t>Assumptions and further information</t>
  </si>
  <si>
    <t>Section A</t>
  </si>
  <si>
    <t>If 'Other', please provide brief details below:</t>
  </si>
  <si>
    <t>School's Assumptions</t>
  </si>
  <si>
    <t>School's assumptions</t>
  </si>
  <si>
    <t>2025-26</t>
  </si>
  <si>
    <t>School's assumptions and further information</t>
  </si>
  <si>
    <t>Year 2?</t>
  </si>
  <si>
    <t>Year 3?</t>
  </si>
  <si>
    <t>SEN Centre Place Funding (excluding post 16 places)</t>
  </si>
  <si>
    <t>Teaching staff</t>
  </si>
  <si>
    <t>Support staff</t>
  </si>
  <si>
    <t>What is the financial impact of the proposed restructure? (Please express cost savings as -'ve amount)</t>
  </si>
  <si>
    <t>Other costs (excluding energy)</t>
  </si>
  <si>
    <t xml:space="preserve">Schools would normally be expected to use Section A guidance for assumptions on inflation to ensure consistency </t>
  </si>
  <si>
    <t xml:space="preserve">Given the volatility of energy prices, and the nature of different contracts, schools may have specific detail of energy </t>
  </si>
  <si>
    <t>between Surrey schools. However, we appreciate there may be exceptional circumstances which require a different</t>
  </si>
  <si>
    <t>Please use this space for any further information that would help.</t>
  </si>
  <si>
    <t xml:space="preserve">In-year Surplus(Deficit) as a % of b/f balance </t>
  </si>
  <si>
    <t>Please complete the following information</t>
  </si>
  <si>
    <t>Will a staffing restructure be required in:</t>
  </si>
  <si>
    <r>
      <t xml:space="preserve">Do the figures </t>
    </r>
    <r>
      <rPr>
        <b/>
        <u/>
        <sz val="10"/>
        <color theme="1"/>
        <rFont val="Arial"/>
        <family val="2"/>
      </rPr>
      <t>include</t>
    </r>
    <r>
      <rPr>
        <sz val="10"/>
        <color theme="1"/>
        <rFont val="Arial"/>
        <family val="2"/>
      </rPr>
      <t xml:space="preserve"> reduced staffing costs in Year 1?</t>
    </r>
  </si>
  <si>
    <r>
      <t xml:space="preserve">Do the figures </t>
    </r>
    <r>
      <rPr>
        <b/>
        <u/>
        <sz val="10"/>
        <color theme="1"/>
        <rFont val="Arial"/>
        <family val="2"/>
      </rPr>
      <t>include</t>
    </r>
    <r>
      <rPr>
        <sz val="10"/>
        <color theme="1"/>
        <rFont val="Arial"/>
        <family val="2"/>
      </rPr>
      <t xml:space="preserve"> reduced non-staffing costs in Year 1?</t>
    </r>
  </si>
  <si>
    <t>Please provide details of any reduced non-staffing costs &gt;£5k (primary) and &gt;£10k (secondary) by CFR category</t>
  </si>
  <si>
    <t>Minority Ethnic Funding</t>
  </si>
  <si>
    <t>TOTAL (I04)</t>
  </si>
  <si>
    <t>Minority Ethnic Funding from Other Local Authorities</t>
  </si>
  <si>
    <t>128 &amp; 133</t>
  </si>
  <si>
    <t>199 &amp; 202</t>
  </si>
  <si>
    <t>approach: in these instances it helps if we know.</t>
  </si>
  <si>
    <t>Chair of Governors</t>
  </si>
  <si>
    <t>Chair of Finance/Resources</t>
  </si>
  <si>
    <t>Number of EHCPs</t>
  </si>
  <si>
    <t>PAN at Key Stage 1</t>
  </si>
  <si>
    <t>PAN at Key Stage 2</t>
  </si>
  <si>
    <t>EHCP and PAN info</t>
  </si>
  <si>
    <t>Position as at:</t>
  </si>
  <si>
    <t>If yes, has this required formal consultation?</t>
  </si>
  <si>
    <t>This information will be used for all communications regarding your budget plan.
Governor contacts - please seek permission if submitting personal email address.</t>
  </si>
  <si>
    <t>Have you shown a deficit including the use of reserves at the end of Year 1?</t>
  </si>
  <si>
    <t>Governors are reminded that they have a responsibility to set and miantain a balanced budget. Please provide details</t>
  </si>
  <si>
    <t>of the actions being taken/taken to mitigate the deficit:</t>
  </si>
  <si>
    <t xml:space="preserve">Schools in deficit will be subject to higher levels of scrutiny by the local authority, and a formal agreement of a recovery </t>
  </si>
  <si>
    <t>plan must be in place by 01 June.</t>
  </si>
  <si>
    <t>Signed ……………………………………………….……………………………… Chair of Governors</t>
  </si>
  <si>
    <t xml:space="preserve">Strictly Education </t>
  </si>
  <si>
    <t>Sep 2025</t>
  </si>
  <si>
    <t>Oct 2025</t>
  </si>
  <si>
    <t>Merrow Junior School (previously Bushy Hill)</t>
  </si>
  <si>
    <r>
      <t xml:space="preserve">Teachers' Pension Grant (TPSECG) - </t>
    </r>
    <r>
      <rPr>
        <b/>
        <sz val="10"/>
        <color rgb="FFFF0000"/>
        <rFont val="Arial"/>
        <family val="2"/>
      </rPr>
      <t>Sixth Forms ONLY</t>
    </r>
  </si>
  <si>
    <t>Tfr from Community Focused B/Fwd (links line 85)</t>
  </si>
  <si>
    <t>108b</t>
  </si>
  <si>
    <t>Draft</t>
  </si>
  <si>
    <t>Sep 2026</t>
  </si>
  <si>
    <t>Oct 2026</t>
  </si>
  <si>
    <t>ECDE040H</t>
  </si>
  <si>
    <t>ECDE041H</t>
  </si>
  <si>
    <t>ECEE042H</t>
  </si>
  <si>
    <t>ECDE043H</t>
  </si>
  <si>
    <t>ECDE044H</t>
  </si>
  <si>
    <t>ECEE045H</t>
  </si>
  <si>
    <t>ECCE046H</t>
  </si>
  <si>
    <t>ECFE047H</t>
  </si>
  <si>
    <t>ECCE048H</t>
  </si>
  <si>
    <t>ECEE049H</t>
  </si>
  <si>
    <t>ECFE050H</t>
  </si>
  <si>
    <t>ECFE051H</t>
  </si>
  <si>
    <t>TBC</t>
  </si>
  <si>
    <t>What % increase assumptions have you used as the basis of your calculations in 2025/26?</t>
  </si>
  <si>
    <t>costs in 2025/26.</t>
  </si>
  <si>
    <t>What percentage increase has been applied to the 2024/25 outturn?</t>
  </si>
  <si>
    <t>Estimate of Employer's NI Funding</t>
  </si>
  <si>
    <r>
      <t xml:space="preserve">Teacher's Pay Additional  Grant ( TPAG)  - </t>
    </r>
    <r>
      <rPr>
        <b/>
        <sz val="10"/>
        <color rgb="FFFF0000"/>
        <rFont val="Arial"/>
        <family val="2"/>
      </rPr>
      <t>Sixth Forms ONLY</t>
    </r>
  </si>
  <si>
    <r>
      <t xml:space="preserve">Post 16 Core Schools Budget Grant  - </t>
    </r>
    <r>
      <rPr>
        <b/>
        <sz val="10"/>
        <color rgb="FFFF0000"/>
        <rFont val="Arial"/>
        <family val="2"/>
      </rPr>
      <t>Sixth Forms ONLY</t>
    </r>
  </si>
  <si>
    <t>John</t>
  </si>
  <si>
    <t>Corlett</t>
  </si>
  <si>
    <t xml:space="preserve">Imogen </t>
  </si>
  <si>
    <t>Woods</t>
  </si>
  <si>
    <t xml:space="preserve">Sam </t>
  </si>
  <si>
    <t>Nicholls</t>
  </si>
  <si>
    <t>SBM@nutfield.surrey.sch.uk</t>
  </si>
  <si>
    <t>Head@nutfield.surrey.sch.uk</t>
  </si>
  <si>
    <t>sam.nicholls@nutfield.surrey.sch.uk</t>
  </si>
  <si>
    <t>01737823239</t>
  </si>
  <si>
    <t>NTP</t>
  </si>
  <si>
    <t>Premises Cost</t>
  </si>
  <si>
    <t>Rents</t>
  </si>
  <si>
    <t>Catering Supploes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</si>
</sst>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#,##0;\(#,##0\)"/>
    <numFmt numFmtId="166" formatCode="_-* #,##0_-;\-* #,##0_-;_-* &quot;-&quot;??_-;_-@_-"/>
    <numFmt numFmtId="167" formatCode="_-* #,##0_-;\-\ #,##0_-;_-* &quot;-&quot;??_-;_-@_-"/>
    <numFmt numFmtId="168" formatCode="dd/mm/yyyy;@"/>
    <numFmt numFmtId="169" formatCode="0.0%"/>
    <numFmt numFmtId="170" formatCode="_-* #,##0_-;\-* #,##0_-;_-* &quot;&quot;_-;_-@_-"/>
    <numFmt numFmtId="171" formatCode="_(* #,##0_);_(* \(#,##0\);_(* &quot;-&quot;??_);_(@_)"/>
    <numFmt numFmtId="172" formatCode="0.0%;[Red]\-0.0%"/>
    <numFmt numFmtId="173" formatCode="#,##0_ ;\-#,##0\ 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10"/>
      <name val="Calibri"/>
      <family val="2"/>
    </font>
    <font>
      <sz val="10"/>
      <name val="Wingdings 2"/>
      <family val="1"/>
      <charset val="2"/>
    </font>
    <font>
      <b/>
      <sz val="14"/>
      <color rgb="FFFF0000"/>
      <name val="Wingdings 2"/>
      <family val="1"/>
      <charset val="2"/>
    </font>
    <font>
      <sz val="10"/>
      <name val="Webdings"/>
      <family val="1"/>
      <charset val="2"/>
    </font>
    <font>
      <b/>
      <sz val="12"/>
      <name val="Calibri"/>
      <family val="2"/>
    </font>
    <font>
      <b/>
      <sz val="10"/>
      <name val="Calibri"/>
      <family val="2"/>
    </font>
    <font>
      <b/>
      <sz val="12"/>
      <color rgb="FFFF0000"/>
      <name val="Calibri"/>
      <family val="2"/>
    </font>
    <font>
      <sz val="8"/>
      <color rgb="FF000000"/>
      <name val="Tahoma"/>
      <family val="2"/>
    </font>
    <font>
      <b/>
      <sz val="10"/>
      <color rgb="FFFF0000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u/>
      <sz val="16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1"/>
      <color rgb="FFFF0000"/>
      <name val="Arial"/>
      <family val="2"/>
    </font>
    <font>
      <i/>
      <sz val="10"/>
      <color rgb="FFFF0000"/>
      <name val="Arial"/>
      <family val="2"/>
    </font>
    <font>
      <sz val="10"/>
      <color theme="8" tint="0.79998168889431442"/>
      <name val="Arial"/>
      <family val="2"/>
    </font>
    <font>
      <b/>
      <u/>
      <sz val="11"/>
      <color rgb="FFFF000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u/>
      <sz val="11"/>
      <name val="Arial"/>
      <family val="2"/>
    </font>
    <font>
      <b/>
      <i/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color theme="0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 style="double">
        <color indexed="64"/>
      </bottom>
      <diagonal/>
    </border>
  </borders>
  <cellStyleXfs count="1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97">
    <xf numFmtId="0" fontId="0" fillId="0" borderId="0" xfId="0"/>
    <xf numFmtId="0" fontId="0" fillId="2" borderId="0" xfId="0" applyFill="1"/>
    <xf numFmtId="0" fontId="4" fillId="2" borderId="0" xfId="0" applyFont="1" applyFill="1"/>
    <xf numFmtId="0" fontId="6" fillId="0" borderId="0" xfId="0" applyFont="1"/>
    <xf numFmtId="0" fontId="4" fillId="2" borderId="0" xfId="0" applyFont="1" applyFill="1" applyAlignment="1">
      <alignment horizontal="center"/>
    </xf>
    <xf numFmtId="0" fontId="0" fillId="0" borderId="22" xfId="0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/>
    <xf numFmtId="0" fontId="8" fillId="2" borderId="0" xfId="0" applyFont="1" applyFill="1"/>
    <xf numFmtId="0" fontId="11" fillId="2" borderId="0" xfId="0" applyFont="1" applyFill="1"/>
    <xf numFmtId="166" fontId="0" fillId="0" borderId="22" xfId="2" applyNumberFormat="1" applyFont="1" applyFill="1" applyBorder="1" applyProtection="1">
      <protection locked="0"/>
    </xf>
    <xf numFmtId="167" fontId="0" fillId="0" borderId="22" xfId="2" applyNumberFormat="1" applyFont="1" applyFill="1" applyBorder="1" applyProtection="1">
      <protection locked="0"/>
    </xf>
    <xf numFmtId="0" fontId="6" fillId="0" borderId="22" xfId="0" applyFont="1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3" fillId="2" borderId="0" xfId="0" applyFont="1" applyFill="1"/>
    <xf numFmtId="0" fontId="5" fillId="2" borderId="0" xfId="0" applyFont="1" applyFill="1"/>
    <xf numFmtId="0" fontId="15" fillId="2" borderId="22" xfId="0" applyFont="1" applyFill="1" applyBorder="1" applyAlignment="1">
      <alignment horizontal="center" vertical="top"/>
    </xf>
    <xf numFmtId="0" fontId="4" fillId="2" borderId="22" xfId="0" applyFont="1" applyFill="1" applyBorder="1"/>
    <xf numFmtId="0" fontId="16" fillId="2" borderId="22" xfId="0" applyFont="1" applyFill="1" applyBorder="1" applyAlignment="1">
      <alignment horizontal="center"/>
    </xf>
    <xf numFmtId="0" fontId="9" fillId="2" borderId="0" xfId="0" applyFont="1" applyFill="1"/>
    <xf numFmtId="0" fontId="0" fillId="4" borderId="0" xfId="0" applyFill="1"/>
    <xf numFmtId="0" fontId="18" fillId="4" borderId="0" xfId="0" applyFont="1" applyFill="1"/>
    <xf numFmtId="0" fontId="22" fillId="4" borderId="0" xfId="0" applyFont="1" applyFill="1"/>
    <xf numFmtId="0" fontId="23" fillId="4" borderId="3" xfId="0" applyFont="1" applyFill="1" applyBorder="1"/>
    <xf numFmtId="0" fontId="23" fillId="4" borderId="20" xfId="0" applyFont="1" applyFill="1" applyBorder="1"/>
    <xf numFmtId="0" fontId="23" fillId="4" borderId="22" xfId="0" applyFont="1" applyFill="1" applyBorder="1"/>
    <xf numFmtId="0" fontId="17" fillId="4" borderId="21" xfId="0" applyFont="1" applyFill="1" applyBorder="1" applyAlignment="1">
      <alignment horizontal="right"/>
    </xf>
    <xf numFmtId="0" fontId="0" fillId="4" borderId="20" xfId="0" applyFill="1" applyBorder="1" applyAlignment="1">
      <alignment horizontal="left"/>
    </xf>
    <xf numFmtId="0" fontId="18" fillId="4" borderId="3" xfId="0" applyFont="1" applyFill="1" applyBorder="1"/>
    <xf numFmtId="0" fontId="18" fillId="4" borderId="20" xfId="0" applyFont="1" applyFill="1" applyBorder="1"/>
    <xf numFmtId="0" fontId="18" fillId="4" borderId="22" xfId="0" applyFont="1" applyFill="1" applyBorder="1"/>
    <xf numFmtId="0" fontId="20" fillId="4" borderId="21" xfId="0" applyFont="1" applyFill="1" applyBorder="1" applyAlignment="1">
      <alignment horizontal="right"/>
    </xf>
    <xf numFmtId="0" fontId="20" fillId="4" borderId="20" xfId="0" applyFont="1" applyFill="1" applyBorder="1" applyAlignment="1">
      <alignment horizontal="left"/>
    </xf>
    <xf numFmtId="0" fontId="21" fillId="4" borderId="0" xfId="0" applyFont="1" applyFill="1"/>
    <xf numFmtId="0" fontId="19" fillId="4" borderId="0" xfId="0" applyFont="1" applyFill="1"/>
    <xf numFmtId="0" fontId="23" fillId="4" borderId="21" xfId="0" applyFont="1" applyFill="1" applyBorder="1" applyAlignment="1">
      <alignment horizontal="left" indent="1"/>
    </xf>
    <xf numFmtId="0" fontId="18" fillId="4" borderId="21" xfId="0" applyFont="1" applyFill="1" applyBorder="1" applyAlignment="1">
      <alignment horizontal="left" indent="1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7" fontId="6" fillId="2" borderId="0" xfId="0" quotePrefix="1" applyNumberFormat="1" applyFont="1" applyFill="1" applyAlignment="1">
      <alignment horizontal="center"/>
    </xf>
    <xf numFmtId="0" fontId="6" fillId="2" borderId="0" xfId="0" quotePrefix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0" fillId="3" borderId="0" xfId="0" applyFill="1"/>
    <xf numFmtId="0" fontId="4" fillId="3" borderId="0" xfId="0" applyFont="1" applyFill="1"/>
    <xf numFmtId="0" fontId="0" fillId="3" borderId="6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0" fontId="11" fillId="3" borderId="0" xfId="0" applyFont="1" applyFill="1"/>
    <xf numFmtId="0" fontId="6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top" wrapText="1"/>
    </xf>
    <xf numFmtId="0" fontId="0" fillId="3" borderId="11" xfId="0" applyFill="1" applyBorder="1"/>
    <xf numFmtId="0" fontId="0" fillId="3" borderId="8" xfId="0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6" fillId="3" borderId="0" xfId="0" applyFont="1" applyFill="1" applyAlignment="1">
      <alignment horizontal="center" vertical="top" wrapText="1"/>
    </xf>
    <xf numFmtId="0" fontId="0" fillId="3" borderId="11" xfId="0" applyFill="1" applyBorder="1" applyAlignment="1">
      <alignment vertical="top" wrapText="1"/>
    </xf>
    <xf numFmtId="0" fontId="0" fillId="3" borderId="0" xfId="0" applyFill="1" applyAlignment="1">
      <alignment horizontal="center"/>
    </xf>
    <xf numFmtId="165" fontId="0" fillId="3" borderId="0" xfId="2" applyNumberFormat="1" applyFont="1" applyFill="1" applyBorder="1"/>
    <xf numFmtId="165" fontId="0" fillId="3" borderId="0" xfId="0" applyNumberFormat="1" applyFill="1"/>
    <xf numFmtId="0" fontId="4" fillId="3" borderId="0" xfId="0" applyFont="1" applyFill="1" applyAlignment="1">
      <alignment horizontal="center"/>
    </xf>
    <xf numFmtId="165" fontId="4" fillId="3" borderId="23" xfId="0" applyNumberFormat="1" applyFont="1" applyFill="1" applyBorder="1"/>
    <xf numFmtId="166" fontId="0" fillId="3" borderId="0" xfId="2" applyNumberFormat="1" applyFont="1" applyFill="1" applyBorder="1"/>
    <xf numFmtId="0" fontId="0" fillId="3" borderId="5" xfId="0" applyFill="1" applyBorder="1"/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166" fontId="0" fillId="3" borderId="4" xfId="2" applyNumberFormat="1" applyFont="1" applyFill="1" applyBorder="1"/>
    <xf numFmtId="0" fontId="0" fillId="3" borderId="12" xfId="0" applyFill="1" applyBorder="1"/>
    <xf numFmtId="0" fontId="0" fillId="3" borderId="7" xfId="0" applyFill="1" applyBorder="1" applyAlignment="1">
      <alignment horizontal="center"/>
    </xf>
    <xf numFmtId="0" fontId="6" fillId="3" borderId="0" xfId="0" applyFont="1" applyFill="1"/>
    <xf numFmtId="9" fontId="0" fillId="3" borderId="0" xfId="0" applyNumberFormat="1" applyFill="1" applyAlignment="1">
      <alignment horizontal="center"/>
    </xf>
    <xf numFmtId="0" fontId="0" fillId="3" borderId="24" xfId="0" applyFill="1" applyBorder="1"/>
    <xf numFmtId="0" fontId="4" fillId="3" borderId="17" xfId="0" applyFont="1" applyFill="1" applyBorder="1"/>
    <xf numFmtId="0" fontId="4" fillId="3" borderId="17" xfId="0" applyFont="1" applyFill="1" applyBorder="1" applyAlignment="1">
      <alignment horizontal="center" vertical="top" wrapText="1"/>
    </xf>
    <xf numFmtId="0" fontId="0" fillId="3" borderId="17" xfId="0" applyFill="1" applyBorder="1"/>
    <xf numFmtId="0" fontId="0" fillId="3" borderId="25" xfId="0" applyFill="1" applyBorder="1"/>
    <xf numFmtId="0" fontId="6" fillId="3" borderId="17" xfId="0" applyFont="1" applyFill="1" applyBorder="1" applyAlignment="1">
      <alignment horizontal="center"/>
    </xf>
    <xf numFmtId="0" fontId="0" fillId="3" borderId="26" xfId="0" applyFill="1" applyBorder="1"/>
    <xf numFmtId="0" fontId="0" fillId="3" borderId="16" xfId="0" applyFill="1" applyBorder="1"/>
    <xf numFmtId="0" fontId="0" fillId="3" borderId="16" xfId="0" applyFill="1" applyBorder="1" applyAlignment="1">
      <alignment vertical="top" wrapText="1"/>
    </xf>
    <xf numFmtId="0" fontId="4" fillId="3" borderId="16" xfId="0" applyFont="1" applyFill="1" applyBorder="1"/>
    <xf numFmtId="0" fontId="0" fillId="3" borderId="27" xfId="0" applyFill="1" applyBorder="1"/>
    <xf numFmtId="0" fontId="9" fillId="3" borderId="0" xfId="0" applyFont="1" applyFill="1"/>
    <xf numFmtId="49" fontId="6" fillId="2" borderId="0" xfId="0" quotePrefix="1" applyNumberFormat="1" applyFont="1" applyFill="1" applyAlignment="1">
      <alignment horizontal="center"/>
    </xf>
    <xf numFmtId="49" fontId="4" fillId="2" borderId="0" xfId="0" quotePrefix="1" applyNumberFormat="1" applyFont="1" applyFill="1" applyAlignment="1">
      <alignment horizontal="center"/>
    </xf>
    <xf numFmtId="0" fontId="0" fillId="0" borderId="22" xfId="0" applyBorder="1"/>
    <xf numFmtId="49" fontId="6" fillId="0" borderId="22" xfId="0" applyNumberFormat="1" applyFont="1" applyBorder="1"/>
    <xf numFmtId="0" fontId="26" fillId="2" borderId="0" xfId="0" applyFont="1" applyFill="1"/>
    <xf numFmtId="168" fontId="6" fillId="0" borderId="22" xfId="0" applyNumberFormat="1" applyFont="1" applyBorder="1" applyAlignment="1">
      <alignment horizontal="left"/>
    </xf>
    <xf numFmtId="0" fontId="26" fillId="3" borderId="0" xfId="0" applyFont="1" applyFill="1"/>
    <xf numFmtId="0" fontId="4" fillId="2" borderId="23" xfId="0" applyFont="1" applyFill="1" applyBorder="1" applyAlignment="1">
      <alignment horizontal="center"/>
    </xf>
    <xf numFmtId="0" fontId="29" fillId="4" borderId="0" xfId="0" applyFont="1" applyFill="1"/>
    <xf numFmtId="0" fontId="30" fillId="4" borderId="0" xfId="0" applyFont="1" applyFill="1"/>
    <xf numFmtId="0" fontId="32" fillId="2" borderId="0" xfId="0" applyFont="1" applyFill="1"/>
    <xf numFmtId="0" fontId="6" fillId="0" borderId="22" xfId="0" applyFont="1" applyBorder="1" applyProtection="1">
      <protection locked="0"/>
    </xf>
    <xf numFmtId="0" fontId="6" fillId="0" borderId="22" xfId="0" applyFont="1" applyBorder="1" applyAlignment="1">
      <alignment horizontal="left"/>
    </xf>
    <xf numFmtId="0" fontId="0" fillId="0" borderId="22" xfId="0" applyBorder="1" applyAlignment="1">
      <alignment horizontal="left"/>
    </xf>
    <xf numFmtId="0" fontId="6" fillId="2" borderId="0" xfId="0" applyFont="1" applyFill="1" applyAlignment="1">
      <alignment horizontal="right" indent="1"/>
    </xf>
    <xf numFmtId="0" fontId="36" fillId="4" borderId="0" xfId="0" applyFont="1" applyFill="1"/>
    <xf numFmtId="0" fontId="38" fillId="4" borderId="0" xfId="0" applyFont="1" applyFill="1"/>
    <xf numFmtId="0" fontId="38" fillId="4" borderId="0" xfId="0" applyFont="1" applyFill="1" applyProtection="1">
      <protection locked="0"/>
    </xf>
    <xf numFmtId="49" fontId="0" fillId="0" borderId="0" xfId="0" applyNumberFormat="1" applyAlignment="1">
      <alignment horizontal="center"/>
    </xf>
    <xf numFmtId="0" fontId="0" fillId="0" borderId="22" xfId="0" applyBorder="1" applyProtection="1">
      <protection locked="0"/>
    </xf>
    <xf numFmtId="0" fontId="4" fillId="0" borderId="0" xfId="0" applyFont="1" applyAlignment="1">
      <alignment horizontal="center"/>
    </xf>
    <xf numFmtId="0" fontId="37" fillId="2" borderId="0" xfId="0" applyFont="1" applyFill="1" applyAlignment="1">
      <alignment vertical="top"/>
    </xf>
    <xf numFmtId="0" fontId="13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top" wrapText="1"/>
    </xf>
    <xf numFmtId="0" fontId="4" fillId="2" borderId="3" xfId="0" applyFont="1" applyFill="1" applyBorder="1"/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right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167" fontId="0" fillId="2" borderId="0" xfId="0" applyNumberFormat="1" applyFill="1"/>
    <xf numFmtId="170" fontId="0" fillId="2" borderId="0" xfId="0" applyNumberFormat="1" applyFill="1"/>
    <xf numFmtId="166" fontId="4" fillId="2" borderId="0" xfId="0" applyNumberFormat="1" applyFont="1" applyFill="1"/>
    <xf numFmtId="0" fontId="14" fillId="2" borderId="0" xfId="0" applyFont="1" applyFill="1"/>
    <xf numFmtId="167" fontId="4" fillId="2" borderId="23" xfId="0" applyNumberFormat="1" applyFont="1" applyFill="1" applyBorder="1"/>
    <xf numFmtId="166" fontId="0" fillId="2" borderId="3" xfId="0" applyNumberFormat="1" applyFill="1" applyBorder="1"/>
    <xf numFmtId="0" fontId="4" fillId="2" borderId="0" xfId="0" applyFont="1" applyFill="1" applyAlignment="1">
      <alignment horizontal="left"/>
    </xf>
    <xf numFmtId="166" fontId="0" fillId="2" borderId="0" xfId="0" applyNumberFormat="1" applyFill="1"/>
    <xf numFmtId="166" fontId="0" fillId="2" borderId="3" xfId="2" applyNumberFormat="1" applyFont="1" applyFill="1" applyBorder="1" applyProtection="1">
      <protection locked="0"/>
    </xf>
    <xf numFmtId="166" fontId="4" fillId="2" borderId="23" xfId="0" applyNumberFormat="1" applyFont="1" applyFill="1" applyBorder="1"/>
    <xf numFmtId="0" fontId="28" fillId="2" borderId="0" xfId="0" applyFont="1" applyFill="1"/>
    <xf numFmtId="169" fontId="0" fillId="2" borderId="0" xfId="3" applyNumberFormat="1" applyFont="1" applyFill="1" applyBorder="1" applyAlignment="1" applyProtection="1">
      <alignment horizontal="center"/>
    </xf>
    <xf numFmtId="166" fontId="4" fillId="2" borderId="2" xfId="0" applyNumberFormat="1" applyFont="1" applyFill="1" applyBorder="1"/>
    <xf numFmtId="166" fontId="4" fillId="2" borderId="3" xfId="2" applyNumberFormat="1" applyFont="1" applyFill="1" applyBorder="1" applyProtection="1"/>
    <xf numFmtId="169" fontId="4" fillId="2" borderId="3" xfId="3" applyNumberFormat="1" applyFont="1" applyFill="1" applyBorder="1" applyAlignment="1" applyProtection="1">
      <alignment horizontal="center"/>
    </xf>
    <xf numFmtId="169" fontId="4" fillId="2" borderId="23" xfId="3" applyNumberFormat="1" applyFont="1" applyFill="1" applyBorder="1" applyAlignment="1" applyProtection="1">
      <alignment horizontal="center"/>
    </xf>
    <xf numFmtId="167" fontId="0" fillId="2" borderId="0" xfId="2" applyNumberFormat="1" applyFont="1" applyFill="1" applyProtection="1"/>
    <xf numFmtId="167" fontId="4" fillId="2" borderId="23" xfId="2" applyNumberFormat="1" applyFont="1" applyFill="1" applyBorder="1" applyProtection="1"/>
    <xf numFmtId="0" fontId="4" fillId="2" borderId="21" xfId="0" applyFont="1" applyFill="1" applyBorder="1"/>
    <xf numFmtId="0" fontId="0" fillId="2" borderId="3" xfId="0" applyFill="1" applyBorder="1"/>
    <xf numFmtId="167" fontId="4" fillId="2" borderId="1" xfId="2" applyNumberFormat="1" applyFont="1" applyFill="1" applyBorder="1" applyProtection="1"/>
    <xf numFmtId="170" fontId="4" fillId="2" borderId="3" xfId="0" applyNumberFormat="1" applyFont="1" applyFill="1" applyBorder="1"/>
    <xf numFmtId="167" fontId="0" fillId="2" borderId="22" xfId="0" applyNumberFormat="1" applyFill="1" applyBorder="1"/>
    <xf numFmtId="167" fontId="0" fillId="2" borderId="2" xfId="0" applyNumberFormat="1" applyFill="1" applyBorder="1"/>
    <xf numFmtId="167" fontId="0" fillId="2" borderId="3" xfId="2" applyNumberFormat="1" applyFont="1" applyFill="1" applyBorder="1" applyProtection="1"/>
    <xf numFmtId="166" fontId="0" fillId="2" borderId="0" xfId="2" applyNumberFormat="1" applyFont="1" applyFill="1" applyProtection="1"/>
    <xf numFmtId="167" fontId="4" fillId="2" borderId="0" xfId="2" applyNumberFormat="1" applyFont="1" applyFill="1" applyBorder="1" applyProtection="1"/>
    <xf numFmtId="0" fontId="3" fillId="2" borderId="6" xfId="0" applyFont="1" applyFill="1" applyBorder="1"/>
    <xf numFmtId="0" fontId="0" fillId="2" borderId="7" xfId="0" applyFill="1" applyBorder="1"/>
    <xf numFmtId="166" fontId="0" fillId="2" borderId="7" xfId="0" applyNumberFormat="1" applyFill="1" applyBorder="1"/>
    <xf numFmtId="0" fontId="0" fillId="2" borderId="10" xfId="0" applyFill="1" applyBorder="1"/>
    <xf numFmtId="0" fontId="13" fillId="2" borderId="8" xfId="0" applyFont="1" applyFill="1" applyBorder="1"/>
    <xf numFmtId="0" fontId="0" fillId="2" borderId="11" xfId="0" applyFill="1" applyBorder="1"/>
    <xf numFmtId="0" fontId="13" fillId="2" borderId="5" xfId="0" applyFont="1" applyFill="1" applyBorder="1" applyAlignment="1">
      <alignment vertical="top"/>
    </xf>
    <xf numFmtId="0" fontId="0" fillId="2" borderId="4" xfId="0" applyFill="1" applyBorder="1"/>
    <xf numFmtId="166" fontId="0" fillId="2" borderId="4" xfId="0" applyNumberFormat="1" applyFill="1" applyBorder="1"/>
    <xf numFmtId="0" fontId="0" fillId="2" borderId="12" xfId="0" applyFill="1" applyBorder="1"/>
    <xf numFmtId="0" fontId="6" fillId="2" borderId="8" xfId="0" applyFont="1" applyFill="1" applyBorder="1"/>
    <xf numFmtId="0" fontId="0" fillId="2" borderId="8" xfId="0" applyFill="1" applyBorder="1"/>
    <xf numFmtId="166" fontId="6" fillId="2" borderId="0" xfId="0" applyNumberFormat="1" applyFont="1" applyFill="1"/>
    <xf numFmtId="0" fontId="0" fillId="2" borderId="5" xfId="0" applyFill="1" applyBorder="1"/>
    <xf numFmtId="0" fontId="13" fillId="2" borderId="7" xfId="0" applyFont="1" applyFill="1" applyBorder="1" applyAlignment="1">
      <alignment vertical="top"/>
    </xf>
    <xf numFmtId="167" fontId="0" fillId="2" borderId="22" xfId="2" applyNumberFormat="1" applyFont="1" applyFill="1" applyBorder="1" applyProtection="1"/>
    <xf numFmtId="0" fontId="18" fillId="4" borderId="9" xfId="0" applyFont="1" applyFill="1" applyBorder="1"/>
    <xf numFmtId="0" fontId="18" fillId="4" borderId="14" xfId="0" applyFont="1" applyFill="1" applyBorder="1"/>
    <xf numFmtId="0" fontId="18" fillId="4" borderId="17" xfId="0" applyFont="1" applyFill="1" applyBorder="1"/>
    <xf numFmtId="0" fontId="18" fillId="4" borderId="2" xfId="0" applyFont="1" applyFill="1" applyBorder="1"/>
    <xf numFmtId="0" fontId="18" fillId="4" borderId="18" xfId="0" applyFont="1" applyFill="1" applyBorder="1"/>
    <xf numFmtId="0" fontId="8" fillId="0" borderId="0" xfId="0" applyFont="1"/>
    <xf numFmtId="0" fontId="18" fillId="4" borderId="31" xfId="0" applyFont="1" applyFill="1" applyBorder="1" applyAlignment="1">
      <alignment horizontal="left" indent="1"/>
    </xf>
    <xf numFmtId="0" fontId="18" fillId="4" borderId="16" xfId="0" applyFont="1" applyFill="1" applyBorder="1" applyAlignment="1">
      <alignment horizontal="left" indent="1"/>
    </xf>
    <xf numFmtId="0" fontId="18" fillId="4" borderId="32" xfId="0" applyFont="1" applyFill="1" applyBorder="1" applyAlignment="1">
      <alignment horizontal="left" indent="1"/>
    </xf>
    <xf numFmtId="0" fontId="18" fillId="4" borderId="9" xfId="0" applyFont="1" applyFill="1" applyBorder="1" applyAlignment="1">
      <alignment horizontal="left" indent="1"/>
    </xf>
    <xf numFmtId="0" fontId="18" fillId="4" borderId="0" xfId="0" applyFont="1" applyFill="1" applyAlignment="1">
      <alignment horizontal="left" indent="1"/>
    </xf>
    <xf numFmtId="0" fontId="18" fillId="4" borderId="2" xfId="0" applyFont="1" applyFill="1" applyBorder="1" applyAlignment="1">
      <alignment horizontal="left" indent="1"/>
    </xf>
    <xf numFmtId="0" fontId="6" fillId="4" borderId="0" xfId="0" applyFont="1" applyFill="1"/>
    <xf numFmtId="0" fontId="6" fillId="4" borderId="23" xfId="0" applyFont="1" applyFill="1" applyBorder="1"/>
    <xf numFmtId="0" fontId="0" fillId="2" borderId="0" xfId="0" applyFill="1" applyAlignment="1">
      <alignment horizontal="left" vertical="center"/>
    </xf>
    <xf numFmtId="166" fontId="0" fillId="2" borderId="0" xfId="2" applyNumberFormat="1" applyFont="1" applyFill="1" applyBorder="1" applyProtection="1"/>
    <xf numFmtId="9" fontId="0" fillId="2" borderId="0" xfId="3" applyFont="1" applyFill="1" applyBorder="1" applyAlignment="1" applyProtection="1">
      <alignment horizontal="center"/>
    </xf>
    <xf numFmtId="9" fontId="4" fillId="2" borderId="0" xfId="3" applyFont="1" applyFill="1" applyBorder="1" applyAlignment="1" applyProtection="1">
      <alignment horizontal="center"/>
    </xf>
    <xf numFmtId="9" fontId="4" fillId="2" borderId="0" xfId="3" applyFont="1" applyFill="1" applyBorder="1" applyProtection="1"/>
    <xf numFmtId="169" fontId="4" fillId="2" borderId="0" xfId="3" applyNumberFormat="1" applyFont="1" applyFill="1" applyBorder="1" applyAlignment="1" applyProtection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/>
    <xf numFmtId="171" fontId="15" fillId="0" borderId="0" xfId="2" applyNumberFormat="1" applyFont="1"/>
    <xf numFmtId="171" fontId="16" fillId="0" borderId="3" xfId="2" applyNumberFormat="1" applyFont="1" applyBorder="1"/>
    <xf numFmtId="171" fontId="16" fillId="0" borderId="0" xfId="2" applyNumberFormat="1" applyFont="1" applyBorder="1"/>
    <xf numFmtId="169" fontId="15" fillId="0" borderId="0" xfId="3" applyNumberFormat="1" applyFont="1" applyAlignment="1">
      <alignment horizontal="center"/>
    </xf>
    <xf numFmtId="169" fontId="16" fillId="0" borderId="3" xfId="3" applyNumberFormat="1" applyFont="1" applyBorder="1"/>
    <xf numFmtId="169" fontId="16" fillId="0" borderId="0" xfId="3" applyNumberFormat="1" applyFont="1" applyBorder="1"/>
    <xf numFmtId="169" fontId="16" fillId="0" borderId="3" xfId="3" applyNumberFormat="1" applyFont="1" applyBorder="1" applyAlignment="1">
      <alignment horizontal="center"/>
    </xf>
    <xf numFmtId="171" fontId="16" fillId="0" borderId="23" xfId="2" applyNumberFormat="1" applyFont="1" applyBorder="1"/>
    <xf numFmtId="0" fontId="40" fillId="0" borderId="0" xfId="0" applyFont="1"/>
    <xf numFmtId="171" fontId="40" fillId="0" borderId="0" xfId="2" applyNumberFormat="1" applyFont="1"/>
    <xf numFmtId="171" fontId="41" fillId="0" borderId="3" xfId="2" applyNumberFormat="1" applyFont="1" applyBorder="1"/>
    <xf numFmtId="0" fontId="15" fillId="0" borderId="7" xfId="0" applyFont="1" applyBorder="1"/>
    <xf numFmtId="171" fontId="15" fillId="0" borderId="7" xfId="2" applyNumberFormat="1" applyFont="1" applyBorder="1"/>
    <xf numFmtId="171" fontId="15" fillId="0" borderId="0" xfId="2" applyNumberFormat="1" applyFont="1" applyBorder="1"/>
    <xf numFmtId="171" fontId="41" fillId="0" borderId="3" xfId="0" applyNumberFormat="1" applyFont="1" applyBorder="1"/>
    <xf numFmtId="0" fontId="42" fillId="0" borderId="0" xfId="0" applyFont="1"/>
    <xf numFmtId="0" fontId="0" fillId="2" borderId="22" xfId="0" applyFill="1" applyBorder="1" applyAlignment="1">
      <alignment horizontal="center"/>
    </xf>
    <xf numFmtId="0" fontId="15" fillId="2" borderId="0" xfId="0" applyFont="1" applyFill="1" applyAlignment="1">
      <alignment horizontal="center" vertical="top"/>
    </xf>
    <xf numFmtId="0" fontId="43" fillId="2" borderId="0" xfId="0" applyFont="1" applyFill="1"/>
    <xf numFmtId="171" fontId="0" fillId="0" borderId="22" xfId="2" applyNumberFormat="1" applyFont="1" applyFill="1" applyBorder="1" applyProtection="1">
      <protection locked="0"/>
    </xf>
    <xf numFmtId="171" fontId="4" fillId="2" borderId="3" xfId="2" applyNumberFormat="1" applyFont="1" applyFill="1" applyBorder="1"/>
    <xf numFmtId="171" fontId="0" fillId="2" borderId="0" xfId="2" applyNumberFormat="1" applyFont="1" applyFill="1"/>
    <xf numFmtId="171" fontId="4" fillId="2" borderId="23" xfId="2" applyNumberFormat="1" applyFont="1" applyFill="1" applyBorder="1"/>
    <xf numFmtId="169" fontId="0" fillId="2" borderId="0" xfId="3" applyNumberFormat="1" applyFont="1" applyFill="1" applyBorder="1" applyProtection="1"/>
    <xf numFmtId="166" fontId="0" fillId="2" borderId="22" xfId="2" applyNumberFormat="1" applyFont="1" applyFill="1" applyBorder="1" applyProtection="1"/>
    <xf numFmtId="166" fontId="0" fillId="2" borderId="9" xfId="2" applyNumberFormat="1" applyFont="1" applyFill="1" applyBorder="1" applyProtection="1"/>
    <xf numFmtId="0" fontId="0" fillId="2" borderId="3" xfId="0" applyFill="1" applyBorder="1" applyAlignment="1">
      <alignment vertical="top"/>
    </xf>
    <xf numFmtId="0" fontId="6" fillId="2" borderId="22" xfId="0" applyFont="1" applyFill="1" applyBorder="1" applyAlignment="1">
      <alignment horizontal="center"/>
    </xf>
    <xf numFmtId="0" fontId="34" fillId="2" borderId="0" xfId="0" applyFont="1" applyFill="1"/>
    <xf numFmtId="0" fontId="32" fillId="2" borderId="0" xfId="0" applyFont="1" applyFill="1" applyAlignment="1">
      <alignment vertical="center"/>
    </xf>
    <xf numFmtId="0" fontId="35" fillId="2" borderId="0" xfId="0" applyFont="1" applyFill="1"/>
    <xf numFmtId="0" fontId="31" fillId="4" borderId="0" xfId="0" applyFont="1" applyFill="1"/>
    <xf numFmtId="0" fontId="46" fillId="0" borderId="0" xfId="0" applyFont="1"/>
    <xf numFmtId="0" fontId="48" fillId="0" borderId="0" xfId="0" applyFont="1"/>
    <xf numFmtId="0" fontId="5" fillId="0" borderId="0" xfId="0" applyFont="1"/>
    <xf numFmtId="0" fontId="52" fillId="0" borderId="0" xfId="0" applyFont="1" applyAlignment="1">
      <alignment vertical="center"/>
    </xf>
    <xf numFmtId="0" fontId="6" fillId="0" borderId="1" xfId="0" applyFont="1" applyBorder="1" applyAlignment="1" applyProtection="1">
      <alignment horizontal="center"/>
      <protection locked="0"/>
    </xf>
    <xf numFmtId="172" fontId="16" fillId="0" borderId="33" xfId="3" applyNumberFormat="1" applyFont="1" applyBorder="1" applyProtection="1"/>
    <xf numFmtId="173" fontId="6" fillId="0" borderId="1" xfId="0" applyNumberFormat="1" applyFont="1" applyBorder="1" applyAlignment="1" applyProtection="1">
      <alignment horizontal="center"/>
      <protection locked="0"/>
    </xf>
    <xf numFmtId="3" fontId="6" fillId="0" borderId="1" xfId="2" applyNumberFormat="1" applyFont="1" applyFill="1" applyBorder="1" applyAlignment="1" applyProtection="1">
      <alignment horizontal="center"/>
    </xf>
    <xf numFmtId="0" fontId="49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53" fillId="2" borderId="0" xfId="0" applyFont="1" applyFill="1" applyAlignment="1" applyProtection="1">
      <alignment horizontal="center"/>
      <protection locked="0"/>
    </xf>
    <xf numFmtId="0" fontId="53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50" fillId="2" borderId="0" xfId="0" applyFont="1" applyFill="1" applyAlignment="1" applyProtection="1">
      <alignment horizontal="center"/>
      <protection locked="0"/>
    </xf>
    <xf numFmtId="0" fontId="50" fillId="2" borderId="0" xfId="0" applyFont="1" applyFill="1" applyProtection="1">
      <protection locked="0"/>
    </xf>
    <xf numFmtId="0" fontId="47" fillId="2" borderId="0" xfId="0" applyFont="1" applyFill="1" applyAlignment="1" applyProtection="1">
      <alignment horizontal="center"/>
      <protection locked="0"/>
    </xf>
    <xf numFmtId="0" fontId="47" fillId="2" borderId="0" xfId="0" applyFont="1" applyFill="1" applyProtection="1">
      <protection locked="0"/>
    </xf>
    <xf numFmtId="0" fontId="15" fillId="2" borderId="0" xfId="0" applyFont="1" applyFill="1" applyProtection="1">
      <protection locked="0"/>
    </xf>
    <xf numFmtId="0" fontId="15" fillId="2" borderId="0" xfId="0" applyFont="1" applyFill="1" applyAlignment="1" applyProtection="1">
      <alignment horizontal="center"/>
      <protection locked="0"/>
    </xf>
    <xf numFmtId="0" fontId="54" fillId="2" borderId="0" xfId="0" applyFont="1" applyFill="1" applyAlignment="1" applyProtection="1">
      <alignment horizontal="center"/>
      <protection locked="0"/>
    </xf>
    <xf numFmtId="0" fontId="51" fillId="2" borderId="0" xfId="0" applyFont="1" applyFill="1" applyAlignment="1" applyProtection="1">
      <alignment horizontal="center" vertical="center"/>
      <protection locked="0"/>
    </xf>
    <xf numFmtId="0" fontId="51" fillId="2" borderId="0" xfId="0" applyFont="1" applyFill="1" applyAlignment="1" applyProtection="1">
      <alignment vertical="center"/>
      <protection locked="0"/>
    </xf>
    <xf numFmtId="0" fontId="53" fillId="0" borderId="1" xfId="0" applyFont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53" fillId="0" borderId="0" xfId="0" applyFont="1" applyProtection="1">
      <protection locked="0"/>
    </xf>
    <xf numFmtId="0" fontId="53" fillId="2" borderId="0" xfId="0" quotePrefix="1" applyFont="1" applyFill="1" applyAlignment="1" applyProtection="1">
      <alignment horizontal="center"/>
      <protection locked="0"/>
    </xf>
    <xf numFmtId="0" fontId="53" fillId="2" borderId="0" xfId="0" quotePrefix="1" applyFont="1" applyFill="1" applyAlignment="1" applyProtection="1">
      <alignment horizontal="left"/>
      <protection locked="0"/>
    </xf>
    <xf numFmtId="169" fontId="15" fillId="0" borderId="0" xfId="2" applyNumberFormat="1" applyFont="1"/>
    <xf numFmtId="0" fontId="6" fillId="0" borderId="19" xfId="0" applyFont="1" applyBorder="1" applyProtection="1">
      <protection locked="0"/>
    </xf>
    <xf numFmtId="0" fontId="18" fillId="4" borderId="13" xfId="0" applyFont="1" applyFill="1" applyBorder="1"/>
    <xf numFmtId="0" fontId="18" fillId="4" borderId="16" xfId="0" applyFont="1" applyFill="1" applyBorder="1"/>
    <xf numFmtId="0" fontId="18" fillId="4" borderId="13" xfId="0" applyFont="1" applyFill="1" applyBorder="1" applyAlignment="1">
      <alignment horizontal="left" indent="1"/>
    </xf>
    <xf numFmtId="0" fontId="24" fillId="4" borderId="2" xfId="0" applyFont="1" applyFill="1" applyBorder="1"/>
    <xf numFmtId="0" fontId="7" fillId="4" borderId="0" xfId="1" applyFill="1" applyAlignment="1" applyProtection="1"/>
    <xf numFmtId="0" fontId="23" fillId="4" borderId="22" xfId="0" applyFont="1" applyFill="1" applyBorder="1" applyAlignment="1">
      <alignment horizontal="left" indent="1"/>
    </xf>
    <xf numFmtId="0" fontId="23" fillId="4" borderId="13" xfId="0" applyFont="1" applyFill="1" applyBorder="1"/>
    <xf numFmtId="0" fontId="23" fillId="4" borderId="16" xfId="0" applyFont="1" applyFill="1" applyBorder="1"/>
    <xf numFmtId="0" fontId="23" fillId="4" borderId="21" xfId="0" applyFont="1" applyFill="1" applyBorder="1" applyAlignment="1">
      <alignment horizontal="left" indent="1"/>
    </xf>
    <xf numFmtId="0" fontId="18" fillId="4" borderId="15" xfId="0" applyFont="1" applyFill="1" applyBorder="1" applyAlignment="1">
      <alignment horizontal="left" indent="1"/>
    </xf>
    <xf numFmtId="0" fontId="18" fillId="4" borderId="19" xfId="0" applyFont="1" applyFill="1" applyBorder="1" applyAlignment="1">
      <alignment horizontal="left" indent="1"/>
    </xf>
    <xf numFmtId="0" fontId="9" fillId="2" borderId="0" xfId="0" applyFont="1" applyFill="1"/>
    <xf numFmtId="49" fontId="6" fillId="0" borderId="21" xfId="0" applyNumberFormat="1" applyFont="1" applyBorder="1" applyAlignment="1" applyProtection="1">
      <alignment horizontal="left"/>
      <protection locked="0"/>
    </xf>
    <xf numFmtId="49" fontId="6" fillId="0" borderId="20" xfId="0" applyNumberFormat="1" applyFont="1" applyBorder="1" applyAlignment="1" applyProtection="1">
      <alignment horizontal="left"/>
      <protection locked="0"/>
    </xf>
    <xf numFmtId="0" fontId="37" fillId="2" borderId="0" xfId="0" applyFont="1" applyFill="1" applyAlignment="1">
      <alignment vertical="top" wrapText="1"/>
    </xf>
    <xf numFmtId="0" fontId="11" fillId="2" borderId="0" xfId="0" applyFont="1" applyFill="1" applyAlignment="1">
      <alignment horizontal="center"/>
    </xf>
    <xf numFmtId="0" fontId="6" fillId="0" borderId="21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7" fillId="0" borderId="21" xfId="1" applyFill="1" applyBorder="1" applyAlignment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Protection="1">
      <protection locked="0"/>
    </xf>
    <xf numFmtId="0" fontId="13" fillId="2" borderId="0" xfId="0" applyFont="1" applyFill="1" applyAlignment="1">
      <alignment horizontal="left" wrapText="1"/>
    </xf>
    <xf numFmtId="0" fontId="8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2" borderId="0" xfId="0" applyFill="1" applyAlignment="1">
      <alignment vertical="center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168" fontId="0" fillId="0" borderId="22" xfId="0" applyNumberFormat="1" applyBorder="1" applyProtection="1">
      <protection locked="0"/>
    </xf>
    <xf numFmtId="0" fontId="27" fillId="2" borderId="0" xfId="0" applyFont="1" applyFill="1" applyAlignment="1">
      <alignment horizontal="center" vertical="center" textRotation="90"/>
    </xf>
    <xf numFmtId="0" fontId="4" fillId="2" borderId="0" xfId="0" applyFont="1" applyFill="1" applyAlignment="1">
      <alignment horizont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53" fillId="0" borderId="28" xfId="0" applyFont="1" applyBorder="1" applyAlignment="1" applyProtection="1">
      <alignment horizontal="left" vertical="top" wrapText="1"/>
      <protection locked="0"/>
    </xf>
    <xf numFmtId="0" fontId="53" fillId="0" borderId="29" xfId="0" applyFont="1" applyBorder="1" applyAlignment="1" applyProtection="1">
      <alignment horizontal="left" vertical="top" wrapText="1"/>
      <protection locked="0"/>
    </xf>
    <xf numFmtId="0" fontId="53" fillId="0" borderId="30" xfId="0" applyFont="1" applyBorder="1" applyAlignment="1" applyProtection="1">
      <alignment horizontal="left" vertical="top" wrapText="1"/>
      <protection locked="0"/>
    </xf>
    <xf numFmtId="0" fontId="51" fillId="2" borderId="0" xfId="0" applyFont="1" applyFill="1" applyAlignment="1" applyProtection="1">
      <alignment horizontal="left" vertical="center"/>
      <protection locked="0"/>
    </xf>
    <xf numFmtId="9" fontId="53" fillId="0" borderId="28" xfId="0" applyNumberFormat="1" applyFont="1" applyBorder="1" applyAlignment="1" applyProtection="1">
      <alignment horizontal="left" vertical="top" wrapText="1"/>
      <protection locked="0"/>
    </xf>
    <xf numFmtId="0" fontId="53" fillId="0" borderId="28" xfId="0" quotePrefix="1" applyFont="1" applyBorder="1" applyAlignment="1" applyProtection="1">
      <alignment horizontal="left" vertical="top" wrapText="1"/>
      <protection locked="0"/>
    </xf>
    <xf numFmtId="0" fontId="53" fillId="0" borderId="29" xfId="0" quotePrefix="1" applyFont="1" applyBorder="1" applyAlignment="1" applyProtection="1">
      <alignment horizontal="left" vertical="top" wrapText="1"/>
      <protection locked="0"/>
    </xf>
    <xf numFmtId="0" fontId="53" fillId="0" borderId="30" xfId="0" quotePrefix="1" applyFont="1" applyBorder="1" applyAlignment="1" applyProtection="1">
      <alignment horizontal="left" vertical="top" wrapText="1"/>
      <protection locked="0"/>
    </xf>
    <xf numFmtId="0" fontId="11" fillId="3" borderId="0" xfId="0" applyFont="1" applyFill="1" applyAlignment="1">
      <alignment horizontal="center"/>
    </xf>
    <xf numFmtId="0" fontId="7" fillId="0" borderId="21" xfId="1" applyBorder="1" applyAlignment="1" applyProtection="1"/>
    <xf numFmtId="0" fontId="0" fillId="0" borderId="3" xfId="0" applyBorder="1"/>
    <xf numFmtId="0" fontId="0" fillId="0" borderId="20" xfId="0" applyBorder="1"/>
  </cellXfs>
  <cellStyles count="12">
    <cellStyle name="Comma" xfId="2" builtinId="3"/>
    <cellStyle name="Comma 2" xfId="8" xr:uid="{378D25FB-FAEC-4CF5-9BFB-4307F256B537}"/>
    <cellStyle name="Hyperlink" xfId="1" builtinId="8"/>
    <cellStyle name="Hyperlink 2" xfId="6" xr:uid="{AF4AAF0C-F8A4-46DD-B0F7-2CE72AE5D27F}"/>
    <cellStyle name="Normal" xfId="0" builtinId="0"/>
    <cellStyle name="Normal 2" xfId="4" xr:uid="{ECF2166E-1D43-4813-8FCD-CABDA5AD27D7}"/>
    <cellStyle name="Normal 2 2" xfId="10" xr:uid="{64077D44-B6F8-43F4-985F-FFE8E5A32166}"/>
    <cellStyle name="Normal 3" xfId="7" xr:uid="{C10059AD-71FA-4BD0-AB8B-7D8488E17A9C}"/>
    <cellStyle name="Percent" xfId="3" builtinId="5"/>
    <cellStyle name="Percent 2" xfId="5" xr:uid="{334299E9-2DC4-420A-B4F1-66477EAF7EDF}"/>
    <cellStyle name="Percent 2 2" xfId="11" xr:uid="{56C13838-2D37-484A-B1C6-7BCFD1C35D22}"/>
    <cellStyle name="Percent 3" xfId="9" xr:uid="{A18D86D6-5D2D-452B-AD4C-B50BD61DAFD9}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00B050"/>
      </font>
    </dxf>
  </dxfs>
  <tableStyles count="0" defaultTableStyle="TableStyleMedium2" defaultPivotStyle="PivotStyleLight16"/>
  <colors>
    <mruColors>
      <color rgb="FFCCFFFF"/>
      <color rgb="FFFFC7C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V37" lockText="1" noThreeD="1"/>
</file>

<file path=xl/ctrlProps/ctrlProp2.xml><?xml version="1.0" encoding="utf-8"?>
<formControlPr xmlns="http://schemas.microsoft.com/office/spreadsheetml/2009/9/main" objectType="CheckBox" fmlaLink="V36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36</xdr:row>
          <xdr:rowOff>19050</xdr:rowOff>
        </xdr:from>
        <xdr:to>
          <xdr:col>16</xdr:col>
          <xdr:colOff>581025</xdr:colOff>
          <xdr:row>37</xdr:row>
          <xdr:rowOff>0</xdr:rowOff>
        </xdr:to>
        <xdr:sp macro="" textlink="">
          <xdr:nvSpPr>
            <xdr:cNvPr id="5122" name="Check Box 2" descr="No Planned Expenditure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This Box if NO Capital Expenditure Planned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35</xdr:row>
          <xdr:rowOff>19050</xdr:rowOff>
        </xdr:from>
        <xdr:to>
          <xdr:col>17</xdr:col>
          <xdr:colOff>371475</xdr:colOff>
          <xdr:row>36</xdr:row>
          <xdr:rowOff>28575</xdr:rowOff>
        </xdr:to>
        <xdr:sp macro="" textlink="">
          <xdr:nvSpPr>
            <xdr:cNvPr id="5126" name="Check Box 6" descr="No Planned Expenditure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This Box if NO Community Focused Expenditure Planned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s://www.gov.uk/guidance/consistent-financial-reporting-framework-2024-to-2025" TargetMode="External"/><Relationship Id="rId1" Type="http://schemas.openxmlformats.org/officeDocument/2006/relationships/hyperlink" Target="https://www.gov.uk/government/publications/consistent-financial-reporting-framework-2019-to-2020/consistent-financial-reporting-framework-2019-to-2020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schools.budgets@surreycc.gov.uk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W43"/>
  <sheetViews>
    <sheetView workbookViewId="0">
      <selection activeCell="R30" sqref="R30"/>
    </sheetView>
  </sheetViews>
  <sheetFormatPr defaultColWidth="9.140625" defaultRowHeight="12.75" x14ac:dyDescent="0.2"/>
  <cols>
    <col min="1" max="1" width="5" style="21" customWidth="1"/>
    <col min="2" max="2" width="12.42578125" style="21" customWidth="1"/>
    <col min="3" max="9" width="9.140625" style="21"/>
    <col min="10" max="10" width="16" style="21" customWidth="1"/>
    <col min="11" max="11" width="4.7109375" style="21" customWidth="1"/>
    <col min="12" max="12" width="4" style="21" customWidth="1"/>
    <col min="13" max="13" width="3" style="21" customWidth="1"/>
    <col min="14" max="14" width="9.5703125" style="21" customWidth="1"/>
    <col min="15" max="17" width="9.140625" style="21"/>
    <col min="18" max="18" width="21.42578125" style="21" customWidth="1"/>
    <col min="19" max="22" width="9.140625" style="21"/>
    <col min="23" max="23" width="9.140625" style="21" hidden="1" customWidth="1"/>
    <col min="24" max="16384" width="9.140625" style="21"/>
  </cols>
  <sheetData>
    <row r="1" spans="2:15" ht="6.75" customHeight="1" x14ac:dyDescent="0.2"/>
    <row r="2" spans="2:15" ht="20.25" x14ac:dyDescent="0.3">
      <c r="B2" s="92" t="s">
        <v>400</v>
      </c>
      <c r="O2" s="21" t="str">
        <f>setups!D23</f>
        <v>Draft Budget Plan 2025-26 Financial Year</v>
      </c>
    </row>
    <row r="3" spans="2:15" ht="8.1" customHeight="1" x14ac:dyDescent="0.2"/>
    <row r="4" spans="2:15" ht="14.25" x14ac:dyDescent="0.2">
      <c r="B4" s="93" t="s">
        <v>363</v>
      </c>
    </row>
    <row r="5" spans="2:15" ht="8.1" customHeight="1" x14ac:dyDescent="0.2">
      <c r="B5" s="93"/>
    </row>
    <row r="6" spans="2:15" ht="15" x14ac:dyDescent="0.25">
      <c r="B6" s="214" t="str">
        <f>"When complete the draft/budget plan (in Excel format) should be emailed to "&amp;setups!D19&amp;" to arrive no later"</f>
        <v>When complete the draft/budget plan (in Excel format) should be emailed to schools.budgets@surreycc.gov.uk to arrive no later</v>
      </c>
    </row>
    <row r="7" spans="2:15" ht="15" x14ac:dyDescent="0.25">
      <c r="B7" s="214" t="str">
        <f>"than "&amp;TEXT(setups!D17,"ddddd")&amp;" "&amp;TEXT(setups!D17,"dd/mm/yyyy")&amp;"."</f>
        <v>than TBC TBC.</v>
      </c>
    </row>
    <row r="8" spans="2:15" ht="8.1" customHeight="1" x14ac:dyDescent="0.2">
      <c r="B8" s="93"/>
    </row>
    <row r="9" spans="2:15" ht="14.25" x14ac:dyDescent="0.2">
      <c r="B9" s="93" t="s">
        <v>633</v>
      </c>
    </row>
    <row r="10" spans="2:15" ht="4.5" customHeight="1" x14ac:dyDescent="0.2">
      <c r="B10" s="93"/>
    </row>
    <row r="11" spans="2:15" x14ac:dyDescent="0.2">
      <c r="B11" s="250" t="s">
        <v>364</v>
      </c>
      <c r="C11" s="250"/>
      <c r="D11" s="250"/>
      <c r="E11" s="36" t="s">
        <v>356</v>
      </c>
      <c r="F11" s="24"/>
      <c r="G11" s="24"/>
      <c r="H11" s="24"/>
      <c r="I11" s="24"/>
      <c r="J11" s="250" t="s">
        <v>629</v>
      </c>
      <c r="K11" s="253"/>
      <c r="L11" s="30"/>
      <c r="M11" s="251"/>
      <c r="N11" s="252"/>
      <c r="O11" s="22"/>
    </row>
    <row r="12" spans="2:15" x14ac:dyDescent="0.2">
      <c r="B12" s="165" t="s">
        <v>366</v>
      </c>
      <c r="C12" s="159"/>
      <c r="D12" s="160"/>
      <c r="E12" s="168" t="s">
        <v>631</v>
      </c>
      <c r="F12" s="168"/>
      <c r="G12" s="168"/>
      <c r="H12" s="168"/>
      <c r="I12" s="168"/>
      <c r="J12" s="254" t="s">
        <v>630</v>
      </c>
      <c r="K12" s="254"/>
      <c r="L12" s="254"/>
      <c r="M12" s="245"/>
      <c r="N12" s="245"/>
      <c r="O12" s="246"/>
    </row>
    <row r="13" spans="2:15" hidden="1" x14ac:dyDescent="0.2">
      <c r="B13" s="166" t="s">
        <v>598</v>
      </c>
      <c r="C13" s="22"/>
      <c r="D13" s="161"/>
      <c r="E13" s="169" t="s">
        <v>632</v>
      </c>
      <c r="F13" s="169"/>
      <c r="G13" s="169"/>
      <c r="H13" s="169"/>
      <c r="I13" s="169"/>
      <c r="J13" s="247" t="s">
        <v>630</v>
      </c>
      <c r="K13" s="247"/>
      <c r="L13" s="247"/>
      <c r="M13" s="245"/>
      <c r="N13" s="245"/>
      <c r="O13" s="246"/>
    </row>
    <row r="14" spans="2:15" x14ac:dyDescent="0.2">
      <c r="B14" s="166" t="s">
        <v>627</v>
      </c>
      <c r="C14" s="22"/>
      <c r="D14" s="161"/>
      <c r="E14" s="169" t="str">
        <f>setups!D23</f>
        <v>Draft Budget Plan 2025-26 Financial Year</v>
      </c>
      <c r="F14" s="169"/>
      <c r="G14" s="169"/>
      <c r="H14" s="169"/>
      <c r="I14" s="169"/>
      <c r="J14" s="247" t="s">
        <v>630</v>
      </c>
      <c r="K14" s="247"/>
      <c r="L14" s="247"/>
      <c r="M14" s="245"/>
      <c r="N14" s="245"/>
      <c r="O14" s="246"/>
    </row>
    <row r="15" spans="2:15" x14ac:dyDescent="0.2">
      <c r="B15" s="166" t="s">
        <v>628</v>
      </c>
      <c r="C15" s="22"/>
      <c r="D15" s="161"/>
      <c r="E15" s="169" t="str">
        <f>setups!D24&amp;""</f>
        <v>Forecast 2026-27 Financial Year</v>
      </c>
      <c r="F15" s="169"/>
      <c r="G15" s="169"/>
      <c r="H15" s="169"/>
      <c r="I15" s="169"/>
      <c r="J15" s="247" t="s">
        <v>630</v>
      </c>
      <c r="K15" s="247"/>
      <c r="L15" s="247"/>
      <c r="M15" s="245"/>
      <c r="N15" s="245"/>
      <c r="O15" s="246"/>
    </row>
    <row r="16" spans="2:15" x14ac:dyDescent="0.2">
      <c r="B16" s="166" t="s">
        <v>646</v>
      </c>
      <c r="C16" s="22"/>
      <c r="D16" s="161"/>
      <c r="E16" s="166" t="str">
        <f>setups!D25&amp;""</f>
        <v>Forecast 2027-28 Financial Year</v>
      </c>
      <c r="F16" s="169"/>
      <c r="G16" s="169"/>
      <c r="H16" s="169"/>
      <c r="I16" s="169"/>
      <c r="J16" s="247" t="s">
        <v>630</v>
      </c>
      <c r="K16" s="247"/>
      <c r="L16" s="247"/>
      <c r="M16" s="22"/>
      <c r="N16" s="22"/>
      <c r="O16" s="22"/>
    </row>
    <row r="17" spans="2:23" x14ac:dyDescent="0.2">
      <c r="B17" s="167" t="s">
        <v>773</v>
      </c>
      <c r="C17" s="162"/>
      <c r="D17" s="163"/>
      <c r="E17" s="170" t="s">
        <v>631</v>
      </c>
      <c r="F17" s="170"/>
      <c r="G17" s="170"/>
      <c r="H17" s="170"/>
      <c r="I17" s="170"/>
      <c r="J17" s="255" t="s">
        <v>630</v>
      </c>
      <c r="K17" s="255"/>
      <c r="L17" s="255"/>
      <c r="M17" s="245"/>
      <c r="N17" s="245"/>
      <c r="O17" s="246"/>
    </row>
    <row r="18" spans="2:23" ht="8.1" customHeight="1" x14ac:dyDescent="0.2">
      <c r="B18" s="93"/>
    </row>
    <row r="19" spans="2:23" ht="15" x14ac:dyDescent="0.25">
      <c r="B19" s="99" t="s">
        <v>637</v>
      </c>
    </row>
    <row r="20" spans="2:23" ht="14.25" x14ac:dyDescent="0.2">
      <c r="B20" s="99" t="s">
        <v>638</v>
      </c>
    </row>
    <row r="21" spans="2:23" ht="8.1" customHeight="1" x14ac:dyDescent="0.2">
      <c r="B21" s="93"/>
    </row>
    <row r="22" spans="2:23" ht="14.25" x14ac:dyDescent="0.2">
      <c r="B22" s="93" t="s">
        <v>657</v>
      </c>
      <c r="O22" s="249" t="s">
        <v>656</v>
      </c>
      <c r="P22" s="249"/>
    </row>
    <row r="23" spans="2:23" ht="9.75" customHeight="1" x14ac:dyDescent="0.2"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</row>
    <row r="24" spans="2:23" ht="15.75" x14ac:dyDescent="0.25">
      <c r="B24" s="23" t="s">
        <v>371</v>
      </c>
      <c r="C24" s="22"/>
      <c r="D24" s="22"/>
      <c r="E24" s="22"/>
      <c r="F24" s="22"/>
      <c r="G24" s="22"/>
      <c r="H24" s="22"/>
      <c r="I24" s="22"/>
      <c r="J24" s="22"/>
      <c r="W24" s="171"/>
    </row>
    <row r="25" spans="2:23" ht="15.75" x14ac:dyDescent="0.25">
      <c r="B25" s="248" t="str">
        <f>IF(W40&gt;0,"All Errors &amp; queries must be resolved before submission","All OK")</f>
        <v>All OK</v>
      </c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W25" s="171"/>
    </row>
    <row r="26" spans="2:23" ht="17.45" customHeight="1" x14ac:dyDescent="0.25">
      <c r="B26" s="36" t="s">
        <v>364</v>
      </c>
      <c r="C26" s="24"/>
      <c r="D26" s="25"/>
      <c r="E26" s="36" t="s">
        <v>365</v>
      </c>
      <c r="F26" s="24"/>
      <c r="G26" s="24"/>
      <c r="H26" s="24"/>
      <c r="I26" s="25"/>
      <c r="J26" s="26"/>
      <c r="K26" s="27"/>
      <c r="L26" s="28"/>
      <c r="V26" s="100"/>
      <c r="W26" s="171"/>
    </row>
    <row r="27" spans="2:23" ht="17.45" customHeight="1" x14ac:dyDescent="0.25">
      <c r="B27" s="37" t="s">
        <v>366</v>
      </c>
      <c r="C27" s="29"/>
      <c r="D27" s="30"/>
      <c r="E27" s="37" t="s">
        <v>74</v>
      </c>
      <c r="F27" s="29"/>
      <c r="G27" s="29"/>
      <c r="H27" s="29"/>
      <c r="I27" s="30"/>
      <c r="J27" s="31" t="str">
        <f>IF('School &amp; Other Info'!F4="ERROR - Invalid DfE Number","Invalid Input",IF(LEN('School &amp; Other Info'!F4)&gt;0,"Completed","Not Completed"))</f>
        <v>Completed</v>
      </c>
      <c r="K27" s="32" t="str">
        <f t="shared" ref="K27:K32" si="0">IF($J27="Completed","P","")</f>
        <v>P</v>
      </c>
      <c r="L27" s="33" t="str">
        <f t="shared" ref="L27:L32" si="1">IF($J27="Completed","","O")</f>
        <v/>
      </c>
      <c r="V27" s="100"/>
      <c r="W27" s="171">
        <f t="shared" ref="W27:W32" si="2">IF(J27="Completed",0,1)</f>
        <v>0</v>
      </c>
    </row>
    <row r="28" spans="2:23" ht="17.45" customHeight="1" x14ac:dyDescent="0.25">
      <c r="B28" s="37" t="s">
        <v>366</v>
      </c>
      <c r="C28" s="29"/>
      <c r="D28" s="30"/>
      <c r="E28" s="37" t="s">
        <v>483</v>
      </c>
      <c r="F28" s="29"/>
      <c r="G28" s="29"/>
      <c r="H28" s="29"/>
      <c r="I28" s="30"/>
      <c r="J28" s="31" t="str">
        <f>IF(AND(LEN('School &amp; Other Info'!D9)&gt;0,LEN('School &amp; Other Info'!E9)&gt;0,LEN('School &amp; Other Info'!G9)&gt;0,LEN('School &amp; Other Info'!D10)&gt;0,LEN('School &amp; Other Info'!E10)&gt;0,LEN('School &amp; Other Info'!G10)&gt;0,LEN('School &amp; Other Info'!E12)&gt;0,LEN('School &amp; Other Info'!D12)&gt;0,LEN('School &amp; Other Info'!E12)&gt;0,LEN('School &amp; Other Info'!G12)&gt;0),"Completed","Not Completed")</f>
        <v>Completed</v>
      </c>
      <c r="K28" s="32" t="str">
        <f t="shared" si="0"/>
        <v>P</v>
      </c>
      <c r="L28" s="33" t="str">
        <f t="shared" si="1"/>
        <v/>
      </c>
      <c r="V28" s="100"/>
      <c r="W28" s="171">
        <f t="shared" si="2"/>
        <v>0</v>
      </c>
    </row>
    <row r="29" spans="2:23" ht="17.45" customHeight="1" x14ac:dyDescent="0.25">
      <c r="B29" s="37" t="s">
        <v>366</v>
      </c>
      <c r="C29" s="29"/>
      <c r="D29" s="30"/>
      <c r="E29" s="37" t="s">
        <v>484</v>
      </c>
      <c r="F29" s="29"/>
      <c r="G29" s="29"/>
      <c r="H29" s="29"/>
      <c r="I29" s="30"/>
      <c r="J29" s="31" t="str">
        <f>IF(AND(LEN('School &amp; Other Info'!L9)&gt;0,LEN('School &amp; Other Info'!L10)&gt;0,LEN('School &amp; Other Info'!L12)&gt;0),"Completed","Not Completed")</f>
        <v>Completed</v>
      </c>
      <c r="K29" s="32" t="str">
        <f t="shared" si="0"/>
        <v>P</v>
      </c>
      <c r="L29" s="33" t="str">
        <f t="shared" si="1"/>
        <v/>
      </c>
      <c r="V29" s="100"/>
      <c r="W29" s="171">
        <f t="shared" si="2"/>
        <v>0</v>
      </c>
    </row>
    <row r="30" spans="2:23" ht="17.45" customHeight="1" x14ac:dyDescent="0.25">
      <c r="B30" s="37" t="s">
        <v>366</v>
      </c>
      <c r="C30" s="29"/>
      <c r="D30" s="30"/>
      <c r="E30" s="37" t="s">
        <v>367</v>
      </c>
      <c r="F30" s="29"/>
      <c r="G30" s="29"/>
      <c r="H30" s="29"/>
      <c r="I30" s="30"/>
      <c r="J30" s="31" t="str">
        <f>IF(LEN('School &amp; Other Info'!S9)&gt;0,"Completed","Not Completed")</f>
        <v>Completed</v>
      </c>
      <c r="K30" s="32" t="str">
        <f t="shared" si="0"/>
        <v>P</v>
      </c>
      <c r="L30" s="33" t="str">
        <f t="shared" si="1"/>
        <v/>
      </c>
      <c r="V30" s="100"/>
      <c r="W30" s="171">
        <f t="shared" si="2"/>
        <v>0</v>
      </c>
    </row>
    <row r="31" spans="2:23" ht="17.45" customHeight="1" x14ac:dyDescent="0.25">
      <c r="B31" s="37" t="s">
        <v>366</v>
      </c>
      <c r="C31" s="29"/>
      <c r="D31" s="30"/>
      <c r="E31" s="37" t="s">
        <v>636</v>
      </c>
      <c r="F31" s="29"/>
      <c r="G31" s="29"/>
      <c r="H31" s="29"/>
      <c r="I31" s="30"/>
      <c r="J31" s="31" t="str">
        <f>IF('School &amp; Other Info'!Y24&lt;&gt;0,"Not Completed","Completed")</f>
        <v>Completed</v>
      </c>
      <c r="K31" s="32" t="str">
        <f t="shared" si="0"/>
        <v>P</v>
      </c>
      <c r="L31" s="33" t="str">
        <f t="shared" si="1"/>
        <v/>
      </c>
      <c r="V31" s="100"/>
      <c r="W31" s="171">
        <f t="shared" si="2"/>
        <v>0</v>
      </c>
    </row>
    <row r="32" spans="2:23" ht="17.45" customHeight="1" x14ac:dyDescent="0.25">
      <c r="B32" s="37" t="s">
        <v>366</v>
      </c>
      <c r="C32" s="29"/>
      <c r="D32" s="30"/>
      <c r="E32" s="37" t="s">
        <v>664</v>
      </c>
      <c r="F32" s="29"/>
      <c r="G32" s="29"/>
      <c r="H32" s="29"/>
      <c r="I32" s="30"/>
      <c r="J32" s="31" t="str">
        <f>IF('School &amp; Other Info'!Y42&lt;&gt;0,"Not Completed","Completed")</f>
        <v>Completed</v>
      </c>
      <c r="K32" s="32" t="str">
        <f t="shared" si="0"/>
        <v>P</v>
      </c>
      <c r="L32" s="33" t="str">
        <f t="shared" si="1"/>
        <v/>
      </c>
      <c r="V32" s="100"/>
      <c r="W32" s="171">
        <f t="shared" si="2"/>
        <v>0</v>
      </c>
    </row>
    <row r="33" spans="2:23" ht="17.45" customHeight="1" x14ac:dyDescent="0.25">
      <c r="B33" s="37" t="s">
        <v>366</v>
      </c>
      <c r="C33" s="29"/>
      <c r="D33" s="30"/>
      <c r="E33" s="37" t="s">
        <v>502</v>
      </c>
      <c r="F33" s="29"/>
      <c r="G33" s="29"/>
      <c r="H33" s="29"/>
      <c r="I33" s="30"/>
      <c r="J33" s="31" t="str">
        <f>IF(LEN('School &amp; Other Info'!P5)&gt;0,"Completed","Not Completed")</f>
        <v>Completed</v>
      </c>
      <c r="K33" s="32" t="str">
        <f>IF(J33="Completed","P","")</f>
        <v>P</v>
      </c>
      <c r="L33" s="33" t="str">
        <f>IF($J33&lt;&gt;"Not Completed","","O")</f>
        <v/>
      </c>
      <c r="V33" s="100"/>
      <c r="W33" s="171">
        <f>IF(J33="Not Completed",1,0)</f>
        <v>0</v>
      </c>
    </row>
    <row r="34" spans="2:23" ht="17.45" customHeight="1" x14ac:dyDescent="0.25">
      <c r="B34" s="37" t="s">
        <v>598</v>
      </c>
      <c r="C34" s="29"/>
      <c r="D34" s="30"/>
      <c r="E34" s="37" t="s">
        <v>634</v>
      </c>
      <c r="F34" s="29"/>
      <c r="G34" s="29"/>
      <c r="H34" s="29"/>
      <c r="I34" s="30"/>
      <c r="J34" s="31" t="str">
        <f>IF('Current Year Outturn'!J45=0,"Completed","Not Completed")</f>
        <v>Completed</v>
      </c>
      <c r="K34" s="32" t="str">
        <f>IF(J34="Completed","P","")</f>
        <v>P</v>
      </c>
      <c r="L34" s="33" t="str">
        <f>IF($J34&lt;&gt;"Not Completed","","O")</f>
        <v/>
      </c>
      <c r="V34" s="100"/>
      <c r="W34" s="171">
        <f>IF(J34="Not Completed",1,0)</f>
        <v>0</v>
      </c>
    </row>
    <row r="35" spans="2:23" ht="17.45" customHeight="1" x14ac:dyDescent="0.3">
      <c r="B35" s="37" t="s">
        <v>626</v>
      </c>
      <c r="C35" s="29"/>
      <c r="D35" s="30"/>
      <c r="E35" s="37" t="s">
        <v>611</v>
      </c>
      <c r="F35" s="29"/>
      <c r="G35" s="29"/>
      <c r="H35" s="29"/>
      <c r="I35" s="30"/>
      <c r="J35" s="31" t="str">
        <f>IF('Budget Plan Year 1'!Q136&gt;0,"Data Errors",IF('Budget Plan Year 1'!I129&gt;0,"Data Entered","No Data Entered"))</f>
        <v>Data Entered</v>
      </c>
      <c r="K35" s="32" t="str">
        <f>IF(J35="Data Entered","P","")</f>
        <v>P</v>
      </c>
      <c r="L35" s="33" t="str">
        <f>IF($J35="Data Entered","","O")</f>
        <v/>
      </c>
      <c r="P35" s="34"/>
      <c r="V35" s="100"/>
      <c r="W35" s="171">
        <f>IF(J35="Data Entered",0,1)</f>
        <v>0</v>
      </c>
    </row>
    <row r="36" spans="2:23" ht="17.45" customHeight="1" x14ac:dyDescent="0.25">
      <c r="B36" s="37" t="s">
        <v>627</v>
      </c>
      <c r="C36" s="29"/>
      <c r="D36" s="30"/>
      <c r="E36" s="37" t="s">
        <v>610</v>
      </c>
      <c r="F36" s="29"/>
      <c r="G36" s="29"/>
      <c r="H36" s="29"/>
      <c r="I36" s="30"/>
      <c r="J36" s="31" t="str">
        <f>IF(V36=TRUE,"Not Required",IF('Budget Plan Year 1'!Q205&gt;0,"Data Errors",IF('Budget Plan Year 1'!I200&gt;0,"Data Entered","No Data Entered")))</f>
        <v>Data Entered</v>
      </c>
      <c r="K36" s="32" t="str">
        <f>IF(OR(J36="Data Entered",J36="Not Required"),"P","")</f>
        <v>P</v>
      </c>
      <c r="L36" s="33" t="str">
        <f>IF(OR($J36="Data Entered",$J36="Not Required"),"","O")</f>
        <v/>
      </c>
      <c r="N36" s="35"/>
      <c r="O36" s="35"/>
      <c r="V36" s="101" t="b">
        <v>0</v>
      </c>
      <c r="W36" s="171">
        <f>IF(OR(J36="Data Entered",J36="Not Required"),0,1)</f>
        <v>0</v>
      </c>
    </row>
    <row r="37" spans="2:23" ht="17.45" customHeight="1" x14ac:dyDescent="0.25">
      <c r="B37" s="37" t="s">
        <v>627</v>
      </c>
      <c r="C37" s="29"/>
      <c r="D37" s="30"/>
      <c r="E37" s="37" t="s">
        <v>369</v>
      </c>
      <c r="F37" s="29"/>
      <c r="G37" s="29"/>
      <c r="H37" s="29"/>
      <c r="I37" s="30"/>
      <c r="J37" s="31" t="str">
        <f>IF(V37=TRUE,"Not Required",IF('Budget Plan Year 1'!I230&gt;0,"Data Entered","No Data Entered"))</f>
        <v>Data Entered</v>
      </c>
      <c r="K37" s="32" t="str">
        <f>IF(OR(J37="Data Entered",J37="Not Required"),"P","")</f>
        <v>P</v>
      </c>
      <c r="L37" s="33" t="str">
        <f>IF(OR($J37="Data Entered",$J37="Not Required"),"","O")</f>
        <v/>
      </c>
      <c r="V37" s="101" t="b">
        <v>0</v>
      </c>
      <c r="W37" s="171">
        <f>IF(OR(J37="Data Entered",J37="Not Required"),0,1)</f>
        <v>0</v>
      </c>
    </row>
    <row r="38" spans="2:23" ht="17.45" customHeight="1" x14ac:dyDescent="0.25">
      <c r="B38" s="37" t="s">
        <v>628</v>
      </c>
      <c r="C38" s="29"/>
      <c r="D38" s="30"/>
      <c r="E38" s="37" t="s">
        <v>645</v>
      </c>
      <c r="F38" s="29"/>
      <c r="G38" s="29"/>
      <c r="H38" s="29"/>
      <c r="I38" s="30"/>
      <c r="J38" s="31" t="str">
        <f>IF('Budget Plan Year 2'!L232&gt;0,"Data Errors",IF('Budget Plan Year 2'!E127&gt;0,"Data Entered","No Data Entered"))</f>
        <v>Data Entered</v>
      </c>
      <c r="K38" s="32" t="str">
        <f>IF(J38="Data Entered","P","")</f>
        <v>P</v>
      </c>
      <c r="L38" s="33" t="str">
        <f>IF($J38="Data Entered","","O")</f>
        <v/>
      </c>
      <c r="V38" s="100"/>
      <c r="W38" s="171">
        <f>IF(J38="Data Entered",0,1)</f>
        <v>0</v>
      </c>
    </row>
    <row r="39" spans="2:23" ht="15" customHeight="1" x14ac:dyDescent="0.25">
      <c r="B39" s="37" t="s">
        <v>646</v>
      </c>
      <c r="C39" s="29"/>
      <c r="D39" s="30"/>
      <c r="E39" s="37" t="s">
        <v>647</v>
      </c>
      <c r="F39" s="29"/>
      <c r="G39" s="29"/>
      <c r="H39" s="29"/>
      <c r="I39" s="30"/>
      <c r="J39" s="31" t="str">
        <f>IF('Budget Plan Year 3'!L232&gt;0,"Data Errors",IF('Budget Plan Year 3'!E127&gt;0,"Data Entered","No Data Entered"))</f>
        <v>Data Entered</v>
      </c>
      <c r="K39" s="32" t="str">
        <f>IF(J39="Data Entered","P","")</f>
        <v>P</v>
      </c>
      <c r="L39" s="33" t="str">
        <f>IF($J39="Data Entered","","O")</f>
        <v/>
      </c>
      <c r="W39" s="171">
        <f>IF(J39="Data Entered",0,1)</f>
        <v>0</v>
      </c>
    </row>
    <row r="40" spans="2:23" ht="18.75" thickBot="1" x14ac:dyDescent="0.3">
      <c r="B40" s="37" t="s">
        <v>772</v>
      </c>
      <c r="C40" s="29"/>
      <c r="D40" s="30"/>
      <c r="E40" s="37" t="s">
        <v>769</v>
      </c>
      <c r="F40" s="29"/>
      <c r="G40" s="29"/>
      <c r="H40" s="29"/>
      <c r="I40" s="30"/>
      <c r="J40" s="31" t="str">
        <f>IF(LEN('School''s assumptions'!E45)&gt;0,"Completed","Not Completed")</f>
        <v>Completed</v>
      </c>
      <c r="K40" s="32" t="str">
        <f>IF(J40="Completed","P","")</f>
        <v>P</v>
      </c>
      <c r="L40" s="33" t="str">
        <f>IF($J40&lt;&gt;"Not Completed","","O")</f>
        <v/>
      </c>
      <c r="V40" s="101"/>
      <c r="W40" s="172">
        <f>SUM(W27:W39)</f>
        <v>0</v>
      </c>
    </row>
    <row r="41" spans="2:23" ht="13.5" thickTop="1" x14ac:dyDescent="0.2"/>
    <row r="43" spans="2:23" x14ac:dyDescent="0.2">
      <c r="B43" s="171" t="s">
        <v>719</v>
      </c>
    </row>
  </sheetData>
  <sheetProtection algorithmName="SHA-512" hashValue="u4qfrWrDYLCxBUFu0fJynkuSq+oSWn63scCzEuICerD9HKzLqhPEoX82Sg6ZOQtiXQiarzLVwON7wBWH1xcbaA==" saltValue="bYGnMeR96a0VCDwSL9CzBg==" spinCount="100000" sheet="1" objects="1" scenarios="1"/>
  <mergeCells count="17">
    <mergeCell ref="B11:D11"/>
    <mergeCell ref="M11:N11"/>
    <mergeCell ref="M12:O12"/>
    <mergeCell ref="M13:O13"/>
    <mergeCell ref="M17:O17"/>
    <mergeCell ref="J11:K11"/>
    <mergeCell ref="J12:L12"/>
    <mergeCell ref="J13:L13"/>
    <mergeCell ref="J14:L14"/>
    <mergeCell ref="J15:L15"/>
    <mergeCell ref="J17:L17"/>
    <mergeCell ref="M15:O15"/>
    <mergeCell ref="M14:O14"/>
    <mergeCell ref="J16:L16"/>
    <mergeCell ref="B25:L25"/>
    <mergeCell ref="B23:M23"/>
    <mergeCell ref="O22:P22"/>
  </mergeCells>
  <conditionalFormatting sqref="K27:L40">
    <cfRule type="cellIs" dxfId="61" priority="1" operator="equal">
      <formula>"P"</formula>
    </cfRule>
  </conditionalFormatting>
  <dataValidations disablePrompts="1" count="1">
    <dataValidation type="custom" allowBlank="1" showInputMessage="1" showErrorMessage="1" sqref="N37:P37" xr:uid="{00000000-0002-0000-0000-000000000000}">
      <formula1>"if(J31=""No Data Entered"",list,"""")"</formula1>
    </dataValidation>
  </dataValidations>
  <hyperlinks>
    <hyperlink ref="O22" r:id="rId1" xr:uid="{00000000-0004-0000-0000-000000000000}"/>
    <hyperlink ref="O22:P22" r:id="rId2" display="CFR framework " xr:uid="{41B123EB-FBA0-4A79-8C62-ED7450C47014}"/>
  </hyperlinks>
  <pageMargins left="0.59055118110236227" right="0.39370078740157483" top="0.51181102362204722" bottom="0.39370078740157483" header="0.31496062992125984" footer="0.15748031496062992"/>
  <pageSetup paperSize="9" scale="85" orientation="landscape" horizontalDpi="4294967293" verticalDpi="4294967293" r:id="rId3"/>
  <headerFooter>
    <oddFooter xml:space="preserve">&amp;REFC - </oddFooter>
  </headerFooter>
  <ignoredErrors>
    <ignoredError sqref="K36:L36" formula="1"/>
  </ignoredError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 altText="No Planned Expenditure">
                <anchor moveWithCells="1">
                  <from>
                    <xdr:col>12</xdr:col>
                    <xdr:colOff>142875</xdr:colOff>
                    <xdr:row>36</xdr:row>
                    <xdr:rowOff>19050</xdr:rowOff>
                  </from>
                  <to>
                    <xdr:col>16</xdr:col>
                    <xdr:colOff>581025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7" name="Check Box 6">
              <controlPr defaultSize="0" autoFill="0" autoLine="0" autoPict="0" altText="No Planned Expenditure">
                <anchor moveWithCells="1">
                  <from>
                    <xdr:col>12</xdr:col>
                    <xdr:colOff>142875</xdr:colOff>
                    <xdr:row>35</xdr:row>
                    <xdr:rowOff>19050</xdr:rowOff>
                  </from>
                  <to>
                    <xdr:col>17</xdr:col>
                    <xdr:colOff>371475</xdr:colOff>
                    <xdr:row>36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B2:N31"/>
  <sheetViews>
    <sheetView workbookViewId="0">
      <selection activeCell="P31" sqref="P31"/>
    </sheetView>
  </sheetViews>
  <sheetFormatPr defaultColWidth="9.140625" defaultRowHeight="12.75" x14ac:dyDescent="0.2"/>
  <cols>
    <col min="1" max="1" width="5.140625" style="44" customWidth="1"/>
    <col min="2" max="2" width="4.42578125" style="44" customWidth="1"/>
    <col min="3" max="3" width="9.140625" style="44"/>
    <col min="4" max="4" width="37" style="44" customWidth="1"/>
    <col min="5" max="5" width="3.140625" style="44" customWidth="1"/>
    <col min="6" max="6" width="9.140625" style="44"/>
    <col min="7" max="7" width="14.28515625" style="44" customWidth="1"/>
    <col min="8" max="8" width="3.28515625" style="44" customWidth="1"/>
    <col min="9" max="9" width="12.7109375" style="44" customWidth="1"/>
    <col min="10" max="10" width="14.28515625" style="44" customWidth="1"/>
    <col min="11" max="12" width="3" style="44" customWidth="1"/>
    <col min="13" max="13" width="12.42578125" style="44" customWidth="1"/>
    <col min="14" max="14" width="3.7109375" style="44" customWidth="1"/>
    <col min="15" max="16384" width="9.140625" style="44"/>
  </cols>
  <sheetData>
    <row r="2" spans="2:14" x14ac:dyDescent="0.2">
      <c r="B2" s="44" t="str">
        <f>setups!D23</f>
        <v>Draft Budget Plan 2025-26 Financial Year</v>
      </c>
    </row>
    <row r="4" spans="2:14" ht="15.75" x14ac:dyDescent="0.25">
      <c r="B4" s="83" t="s">
        <v>377</v>
      </c>
      <c r="E4" s="90" t="str">
        <f>IF(setups!D5="Draft","Not Used for Draft Budget Plan","")</f>
        <v>Not Used for Draft Budget Plan</v>
      </c>
    </row>
    <row r="6" spans="2:14" x14ac:dyDescent="0.2">
      <c r="B6" s="45" t="str">
        <f>'School &amp; Other Info'!F4</f>
        <v>Nutfield Church CofE Primary School</v>
      </c>
    </row>
    <row r="7" spans="2:14" x14ac:dyDescent="0.2">
      <c r="B7" s="45" t="str">
        <f>'School &amp; Other Info'!F6</f>
        <v>ECFE8719</v>
      </c>
    </row>
    <row r="8" spans="2:14" ht="13.5" thickBot="1" x14ac:dyDescent="0.25">
      <c r="C8" s="45"/>
    </row>
    <row r="9" spans="2:14" x14ac:dyDescent="0.2">
      <c r="B9" s="46"/>
      <c r="C9" s="47"/>
      <c r="D9" s="47"/>
      <c r="E9" s="78"/>
      <c r="F9" s="47"/>
      <c r="G9" s="47"/>
      <c r="H9" s="72"/>
      <c r="I9" s="47"/>
      <c r="J9" s="47"/>
      <c r="K9" s="72"/>
      <c r="L9" s="47"/>
      <c r="M9" s="47"/>
      <c r="N9" s="48"/>
    </row>
    <row r="10" spans="2:14" x14ac:dyDescent="0.2">
      <c r="B10" s="49"/>
      <c r="C10" s="50" t="s">
        <v>379</v>
      </c>
      <c r="E10" s="79"/>
      <c r="F10" s="293" t="s">
        <v>67</v>
      </c>
      <c r="G10" s="293"/>
      <c r="H10" s="73"/>
      <c r="I10" s="293" t="s">
        <v>68</v>
      </c>
      <c r="J10" s="293"/>
      <c r="K10" s="77"/>
      <c r="L10" s="51"/>
      <c r="M10" s="52" t="s">
        <v>69</v>
      </c>
      <c r="N10" s="53"/>
    </row>
    <row r="11" spans="2:14" s="55" customFormat="1" x14ac:dyDescent="0.2">
      <c r="B11" s="54"/>
      <c r="E11" s="80"/>
      <c r="F11" s="52" t="s">
        <v>659</v>
      </c>
      <c r="G11" s="52" t="s">
        <v>73</v>
      </c>
      <c r="H11" s="74"/>
      <c r="I11" s="52" t="s">
        <v>659</v>
      </c>
      <c r="J11" s="52" t="s">
        <v>73</v>
      </c>
      <c r="K11" s="74"/>
      <c r="L11" s="52"/>
      <c r="M11" s="56" t="s">
        <v>73</v>
      </c>
      <c r="N11" s="57"/>
    </row>
    <row r="12" spans="2:14" s="55" customFormat="1" x14ac:dyDescent="0.2">
      <c r="B12" s="54"/>
      <c r="E12" s="80"/>
      <c r="F12" s="52"/>
      <c r="G12" s="52"/>
      <c r="H12" s="74"/>
      <c r="I12" s="52"/>
      <c r="J12" s="52"/>
      <c r="K12" s="74"/>
      <c r="L12" s="52"/>
      <c r="M12" s="56"/>
      <c r="N12" s="57"/>
    </row>
    <row r="13" spans="2:14" x14ac:dyDescent="0.2">
      <c r="B13" s="49"/>
      <c r="C13" s="70" t="s">
        <v>658</v>
      </c>
      <c r="E13" s="79"/>
      <c r="F13" s="51" t="s">
        <v>796</v>
      </c>
      <c r="G13" s="59">
        <f>'Budget Plan Year 1'!I129+'Budget Plan Year 1'!I134</f>
        <v>1323952</v>
      </c>
      <c r="H13" s="75"/>
      <c r="I13" s="51" t="s">
        <v>797</v>
      </c>
      <c r="J13" s="59">
        <f>'Budget Plan Year 1'!I200+'Budget Plan Year 1'!I203</f>
        <v>270920</v>
      </c>
      <c r="K13" s="75"/>
      <c r="M13" s="60">
        <f>G13+J13</f>
        <v>1594872</v>
      </c>
      <c r="N13" s="53"/>
    </row>
    <row r="14" spans="2:14" x14ac:dyDescent="0.2">
      <c r="B14" s="49"/>
      <c r="C14" s="44" t="s">
        <v>374</v>
      </c>
      <c r="D14" s="44" t="s">
        <v>375</v>
      </c>
      <c r="E14" s="79"/>
      <c r="F14" s="51" t="s">
        <v>740</v>
      </c>
      <c r="G14" s="59">
        <f>IF(('Budget Plan Year 1'!I8+'Budget Plan Year 1'!I9)&gt;0,-('Budget Plan Year 1'!I8+'Budget Plan Year 1'!I9),0)</f>
        <v>-73333</v>
      </c>
      <c r="H14" s="75"/>
      <c r="I14" s="58">
        <v>140</v>
      </c>
      <c r="J14" s="59">
        <f>IF('Budget Plan Year 1'!I141&gt;0,-'Budget Plan Year 1'!I141,0)</f>
        <v>-171000</v>
      </c>
      <c r="K14" s="75"/>
      <c r="M14" s="60">
        <f>G14+J14</f>
        <v>-244333</v>
      </c>
      <c r="N14" s="53"/>
    </row>
    <row r="15" spans="2:14" x14ac:dyDescent="0.2">
      <c r="B15" s="49"/>
      <c r="D15" s="44" t="s">
        <v>372</v>
      </c>
      <c r="E15" s="79"/>
      <c r="F15" s="58">
        <v>86</v>
      </c>
      <c r="G15" s="59">
        <f>-'Budget Plan Year 1'!G87</f>
        <v>-6800</v>
      </c>
      <c r="H15" s="75"/>
      <c r="I15" s="58">
        <v>160</v>
      </c>
      <c r="J15" s="59">
        <f>-'Budget Plan Year 1'!G161</f>
        <v>-128049</v>
      </c>
      <c r="K15" s="75"/>
      <c r="M15" s="60">
        <f>G15+J15</f>
        <v>-134849</v>
      </c>
      <c r="N15" s="53"/>
    </row>
    <row r="16" spans="2:14" x14ac:dyDescent="0.2">
      <c r="B16" s="49"/>
      <c r="D16" s="44" t="s">
        <v>373</v>
      </c>
      <c r="E16" s="79"/>
      <c r="F16" s="58">
        <v>128</v>
      </c>
      <c r="G16" s="59">
        <f>-'Budget Plan Year 1'!E129</f>
        <v>-991237</v>
      </c>
      <c r="H16" s="75"/>
      <c r="I16" s="58">
        <v>199</v>
      </c>
      <c r="J16" s="59">
        <f>-'Budget Plan Year 1'!E200</f>
        <v>-64263</v>
      </c>
      <c r="K16" s="75"/>
      <c r="M16" s="60">
        <f>G16+J16</f>
        <v>-1055500</v>
      </c>
      <c r="N16" s="53"/>
    </row>
    <row r="17" spans="2:14" ht="13.5" thickBot="1" x14ac:dyDescent="0.25">
      <c r="B17" s="49"/>
      <c r="C17" s="45" t="s">
        <v>376</v>
      </c>
      <c r="D17" s="45"/>
      <c r="E17" s="81"/>
      <c r="F17" s="61"/>
      <c r="G17" s="62">
        <f>SUM(G13:G16)</f>
        <v>252582</v>
      </c>
      <c r="H17" s="73"/>
      <c r="I17" s="61"/>
      <c r="J17" s="62">
        <f>SUM(J13:J16)</f>
        <v>-92392</v>
      </c>
      <c r="K17" s="73"/>
      <c r="L17" s="45"/>
      <c r="M17" s="62">
        <f>SUM(M13:M16)</f>
        <v>160190</v>
      </c>
      <c r="N17" s="53"/>
    </row>
    <row r="18" spans="2:14" ht="13.5" thickTop="1" x14ac:dyDescent="0.2">
      <c r="B18" s="49"/>
      <c r="E18" s="79"/>
      <c r="F18" s="58"/>
      <c r="G18" s="63"/>
      <c r="H18" s="75"/>
      <c r="K18" s="75"/>
      <c r="N18" s="53"/>
    </row>
    <row r="19" spans="2:14" ht="13.5" thickBot="1" x14ac:dyDescent="0.25">
      <c r="B19" s="64"/>
      <c r="C19" s="65"/>
      <c r="D19" s="65"/>
      <c r="E19" s="82"/>
      <c r="F19" s="66"/>
      <c r="G19" s="67"/>
      <c r="H19" s="76"/>
      <c r="I19" s="65"/>
      <c r="J19" s="65"/>
      <c r="K19" s="76"/>
      <c r="L19" s="65"/>
      <c r="M19" s="65"/>
      <c r="N19" s="68"/>
    </row>
    <row r="20" spans="2:14" ht="13.5" thickBot="1" x14ac:dyDescent="0.25">
      <c r="F20" s="58"/>
    </row>
    <row r="21" spans="2:14" x14ac:dyDescent="0.2">
      <c r="B21" s="46"/>
      <c r="C21" s="47"/>
      <c r="D21" s="47"/>
      <c r="E21" s="47"/>
      <c r="F21" s="69"/>
      <c r="G21" s="47"/>
      <c r="H21" s="47"/>
      <c r="I21" s="47"/>
      <c r="J21" s="47"/>
      <c r="K21" s="47"/>
      <c r="L21" s="47"/>
      <c r="M21" s="47"/>
      <c r="N21" s="48"/>
    </row>
    <row r="22" spans="2:14" x14ac:dyDescent="0.2">
      <c r="B22" s="49"/>
      <c r="C22" s="50" t="s">
        <v>382</v>
      </c>
      <c r="F22" s="58"/>
      <c r="N22" s="53"/>
    </row>
    <row r="23" spans="2:14" x14ac:dyDescent="0.2">
      <c r="B23" s="49"/>
      <c r="D23" s="70" t="s">
        <v>378</v>
      </c>
      <c r="E23" s="70"/>
      <c r="F23" s="71">
        <v>0.4</v>
      </c>
      <c r="M23" s="60">
        <f>IF($M$17&gt;0,$M$17*F23,0)</f>
        <v>64076</v>
      </c>
      <c r="N23" s="53"/>
    </row>
    <row r="24" spans="2:14" x14ac:dyDescent="0.2">
      <c r="B24" s="49"/>
      <c r="D24" s="70" t="s">
        <v>380</v>
      </c>
      <c r="E24" s="70"/>
      <c r="F24" s="71">
        <v>0.35</v>
      </c>
      <c r="M24" s="60">
        <f>IF($M$17&gt;0,$M$17*F24,0)</f>
        <v>56066.5</v>
      </c>
      <c r="N24" s="53"/>
    </row>
    <row r="25" spans="2:14" x14ac:dyDescent="0.2">
      <c r="B25" s="49"/>
      <c r="D25" s="70" t="s">
        <v>381</v>
      </c>
      <c r="E25" s="70"/>
      <c r="F25" s="71">
        <v>0.25</v>
      </c>
      <c r="M25" s="60">
        <f>IF($M$17&gt;0,$M$17*F25,0)</f>
        <v>40047.5</v>
      </c>
      <c r="N25" s="53"/>
    </row>
    <row r="26" spans="2:14" ht="13.5" thickBot="1" x14ac:dyDescent="0.25">
      <c r="B26" s="49"/>
      <c r="C26" s="45" t="s">
        <v>69</v>
      </c>
      <c r="F26" s="58"/>
      <c r="M26" s="62">
        <f>SUM(M23:M25)</f>
        <v>160190</v>
      </c>
      <c r="N26" s="53"/>
    </row>
    <row r="27" spans="2:14" ht="14.25" thickTop="1" thickBot="1" x14ac:dyDescent="0.25">
      <c r="B27" s="64"/>
      <c r="C27" s="65"/>
      <c r="D27" s="65"/>
      <c r="E27" s="65"/>
      <c r="F27" s="66"/>
      <c r="G27" s="65"/>
      <c r="H27" s="65"/>
      <c r="I27" s="65"/>
      <c r="J27" s="65"/>
      <c r="K27" s="65"/>
      <c r="L27" s="65"/>
      <c r="M27" s="65"/>
      <c r="N27" s="68"/>
    </row>
    <row r="28" spans="2:14" x14ac:dyDescent="0.2">
      <c r="F28" s="58"/>
    </row>
    <row r="29" spans="2:14" x14ac:dyDescent="0.2">
      <c r="F29" s="58"/>
    </row>
    <row r="30" spans="2:14" x14ac:dyDescent="0.2">
      <c r="F30" s="58"/>
    </row>
    <row r="31" spans="2:14" x14ac:dyDescent="0.2">
      <c r="B31" s="90" t="str">
        <f>IF(RIGHT(B7,1)="H","nb Tranche Calculation NOT APPLICABLE to 100% LBA Schools","")</f>
        <v/>
      </c>
    </row>
  </sheetData>
  <sheetProtection algorithmName="SHA-512" hashValue="BbUko0NyL2RuwOBVi1G+m/k3hWuBLDPZ2dq1udwu51Qex75Na1r/hwSIGv4JekPa2Y7MiDo3SLbsgHwOQSfTcQ==" saltValue="8rEGPqghNN/v3Yg13OhWxA==" spinCount="100000" sheet="1" objects="1" scenarios="1"/>
  <mergeCells count="2">
    <mergeCell ref="F10:G10"/>
    <mergeCell ref="I10:J10"/>
  </mergeCells>
  <printOptions horizontalCentered="1"/>
  <pageMargins left="0.23622047244094491" right="0.31496062992125984" top="0.47244094488188981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2D050"/>
  </sheetPr>
  <dimension ref="B2:K44"/>
  <sheetViews>
    <sheetView workbookViewId="0">
      <selection activeCell="F14" sqref="F14"/>
    </sheetView>
  </sheetViews>
  <sheetFormatPr defaultColWidth="9.140625" defaultRowHeight="12.75" x14ac:dyDescent="0.2"/>
  <cols>
    <col min="1" max="1" width="4.42578125" style="1" customWidth="1"/>
    <col min="2" max="2" width="27.85546875" style="1" customWidth="1"/>
    <col min="3" max="3" width="2.85546875" style="1" customWidth="1"/>
    <col min="4" max="4" width="14.7109375" style="1" customWidth="1"/>
    <col min="5" max="16384" width="9.140625" style="1"/>
  </cols>
  <sheetData>
    <row r="2" spans="2:11" ht="15.75" x14ac:dyDescent="0.25">
      <c r="B2" s="20" t="s">
        <v>387</v>
      </c>
    </row>
    <row r="3" spans="2:11" x14ac:dyDescent="0.2">
      <c r="D3" s="2" t="s">
        <v>561</v>
      </c>
      <c r="E3" s="4"/>
      <c r="F3" s="4" t="s">
        <v>562</v>
      </c>
      <c r="G3" s="4" t="s">
        <v>563</v>
      </c>
      <c r="K3" s="2" t="s">
        <v>705</v>
      </c>
    </row>
    <row r="4" spans="2:11" x14ac:dyDescent="0.2">
      <c r="B4" s="2" t="s">
        <v>391</v>
      </c>
      <c r="D4" s="86" t="s">
        <v>774</v>
      </c>
      <c r="F4" s="199" t="str">
        <f>LEFT($D$4,4)+1&amp;"-"&amp;RIGHT($D$4,2)+1</f>
        <v>2026-27</v>
      </c>
      <c r="G4" s="199" t="str">
        <f>LEFT($D$4,4)+2&amp;"-"&amp;RIGHT($D$4,2)+2</f>
        <v>2027-28</v>
      </c>
      <c r="K4" s="1" t="str">
        <f>"Apr"&amp;" "&amp;RIGHT(LEFT($D$4,4),2)</f>
        <v>Apr 25</v>
      </c>
    </row>
    <row r="5" spans="2:11" x14ac:dyDescent="0.2">
      <c r="B5" s="2" t="s">
        <v>383</v>
      </c>
      <c r="D5" s="86" t="s">
        <v>821</v>
      </c>
      <c r="K5" s="1" t="str">
        <f>"May"&amp;" "&amp;RIGHT(LEFT($D$4,4),2)</f>
        <v>May 25</v>
      </c>
    </row>
    <row r="6" spans="2:11" x14ac:dyDescent="0.2">
      <c r="B6" s="2" t="s">
        <v>620</v>
      </c>
      <c r="D6" s="1" t="str">
        <f>IF(D5="Final","BP","DBP")&amp;RIGHT(LEFT(D4,4),2)</f>
        <v>DBP25</v>
      </c>
      <c r="K6" s="1" t="str">
        <f>"Jun"&amp;" "&amp;RIGHT(LEFT($D$4,4),2)</f>
        <v>Jun 25</v>
      </c>
    </row>
    <row r="7" spans="2:11" x14ac:dyDescent="0.2">
      <c r="K7" s="1" t="str">
        <f>"Jul"&amp;" "&amp;RIGHT(LEFT($D$4,4),2)</f>
        <v>Jul 25</v>
      </c>
    </row>
    <row r="8" spans="2:11" x14ac:dyDescent="0.2">
      <c r="B8" s="2" t="s">
        <v>384</v>
      </c>
      <c r="K8" s="1" t="str">
        <f>"Aug"&amp;" "&amp;RIGHT(LEFT($D$4,4),2)</f>
        <v>Aug 25</v>
      </c>
    </row>
    <row r="9" spans="2:11" x14ac:dyDescent="0.2">
      <c r="B9" s="8" t="s">
        <v>385</v>
      </c>
      <c r="D9" s="87" t="s">
        <v>767</v>
      </c>
      <c r="K9" s="1" t="str">
        <f>"Sep"&amp;" "&amp;RIGHT(LEFT($D$4,4),2)</f>
        <v>Sep 25</v>
      </c>
    </row>
    <row r="10" spans="2:11" x14ac:dyDescent="0.2">
      <c r="B10" s="8" t="s">
        <v>612</v>
      </c>
      <c r="D10" s="87" t="s">
        <v>815</v>
      </c>
      <c r="K10" s="1" t="str">
        <f>"Oct"&amp;" "&amp;RIGHT(LEFT($D$4,4),2)</f>
        <v>Oct 25</v>
      </c>
    </row>
    <row r="11" spans="2:11" x14ac:dyDescent="0.2">
      <c r="B11" s="8" t="s">
        <v>613</v>
      </c>
      <c r="D11" s="87" t="s">
        <v>822</v>
      </c>
      <c r="K11" s="1" t="str">
        <f>"Nov"&amp;" "&amp;RIGHT(LEFT($D$4,4),2)</f>
        <v>Nov 25</v>
      </c>
    </row>
    <row r="12" spans="2:11" x14ac:dyDescent="0.2">
      <c r="B12" s="2" t="s">
        <v>386</v>
      </c>
      <c r="K12" s="1" t="str">
        <f>"Dec"&amp;" "&amp;RIGHT(LEFT($D$4,4),2)</f>
        <v>Dec 25</v>
      </c>
    </row>
    <row r="13" spans="2:11" x14ac:dyDescent="0.2">
      <c r="B13" s="8" t="s">
        <v>385</v>
      </c>
      <c r="D13" s="87" t="s">
        <v>768</v>
      </c>
      <c r="K13" s="1" t="str">
        <f>"Jan"&amp;" "&amp;RIGHT(LEFT($D$4,4),2)+1</f>
        <v>Jan 26</v>
      </c>
    </row>
    <row r="14" spans="2:11" x14ac:dyDescent="0.2">
      <c r="B14" s="8" t="s">
        <v>612</v>
      </c>
      <c r="D14" s="87" t="s">
        <v>816</v>
      </c>
      <c r="K14" s="1" t="str">
        <f>"Feb"&amp;" "&amp;RIGHT(LEFT($D$4,4),2)+1</f>
        <v>Feb 26</v>
      </c>
    </row>
    <row r="15" spans="2:11" x14ac:dyDescent="0.2">
      <c r="B15" s="8" t="s">
        <v>613</v>
      </c>
      <c r="D15" s="87" t="s">
        <v>823</v>
      </c>
      <c r="K15" s="1" t="str">
        <f>"Mar"&amp;" "&amp;RIGHT(LEFT($D$4,4),2)+1</f>
        <v>Mar 26</v>
      </c>
    </row>
    <row r="16" spans="2:11" x14ac:dyDescent="0.2">
      <c r="B16" s="8" t="s">
        <v>804</v>
      </c>
      <c r="D16" s="87" t="s">
        <v>768</v>
      </c>
      <c r="K16" s="1" t="str">
        <f>"Apr"&amp;" "&amp;RIGHT(LEFT($D$4,4),2)+1</f>
        <v>Apr 26</v>
      </c>
    </row>
    <row r="17" spans="2:11" x14ac:dyDescent="0.2">
      <c r="B17" s="2" t="s">
        <v>389</v>
      </c>
      <c r="D17" s="89" t="s">
        <v>836</v>
      </c>
      <c r="K17" s="1" t="str">
        <f>"May"&amp;" "&amp;RIGHT(LEFT($D$4,4),2)+1</f>
        <v>May 26</v>
      </c>
    </row>
    <row r="18" spans="2:11" x14ac:dyDescent="0.2">
      <c r="K18" s="1" t="str">
        <f>"Jun"&amp;" "&amp;RIGHT(LEFT($D$4,4),2)+1</f>
        <v>Jun 26</v>
      </c>
    </row>
    <row r="19" spans="2:11" x14ac:dyDescent="0.2">
      <c r="B19" s="8" t="s">
        <v>615</v>
      </c>
      <c r="D19" s="294" t="s">
        <v>504</v>
      </c>
      <c r="E19" s="295"/>
      <c r="F19" s="296"/>
      <c r="K19" s="1" t="str">
        <f>"Jul"&amp;" "&amp;RIGHT(LEFT($D$4,4),2)+1</f>
        <v>Jul 26</v>
      </c>
    </row>
    <row r="20" spans="2:11" x14ac:dyDescent="0.2">
      <c r="K20" s="1" t="str">
        <f>"Aug"&amp;" "&amp;RIGHT(LEFT($D$4,4),2)+1</f>
        <v>Aug 26</v>
      </c>
    </row>
    <row r="21" spans="2:11" x14ac:dyDescent="0.2">
      <c r="B21" s="8" t="s">
        <v>77</v>
      </c>
      <c r="D21" s="8" t="str">
        <f>LEFT('School &amp; Other Info'!F4,12)&amp;"_"&amp;'School &amp; Other Info'!D4</f>
        <v>Nutfield Chu_3376</v>
      </c>
      <c r="K21" s="1" t="str">
        <f>"Sep"&amp;" "&amp;RIGHT(LEFT($D$4,4),2)+1</f>
        <v>Sep 26</v>
      </c>
    </row>
    <row r="22" spans="2:11" x14ac:dyDescent="0.2">
      <c r="B22" s="8" t="s">
        <v>616</v>
      </c>
      <c r="D22" s="1" t="str">
        <f>"Outturn Forecast for "&amp;LEFT($D$4,4)-1&amp;"-"&amp;RIGHT($D$4,2)-1&amp;" Financial Year based on October FMR"</f>
        <v>Outturn Forecast for 2024-25 Financial Year based on October FMR</v>
      </c>
      <c r="K22" s="1" t="str">
        <f>"Oct"&amp;" "&amp;RIGHT(LEFT($D$4,4),2)+1</f>
        <v>Oct 26</v>
      </c>
    </row>
    <row r="23" spans="2:11" x14ac:dyDescent="0.2">
      <c r="B23" s="8" t="s">
        <v>617</v>
      </c>
      <c r="D23" s="1" t="str">
        <f>IF(D5="Draft","Draft Budget Plan "&amp;D4&amp;" Financial Year","Budget Plan "&amp;D4&amp;" Financial Year")</f>
        <v>Draft Budget Plan 2025-26 Financial Year</v>
      </c>
      <c r="K23" s="1" t="str">
        <f>"Nov"&amp;" "&amp;RIGHT(LEFT($D$4,4),2)+1</f>
        <v>Nov 26</v>
      </c>
    </row>
    <row r="24" spans="2:11" x14ac:dyDescent="0.2">
      <c r="B24" s="8" t="s">
        <v>618</v>
      </c>
      <c r="D24" s="1" t="str">
        <f>"Forecast "&amp;LEFT($D$4,4)+1&amp;"-"&amp;RIGHT($D$4,2)+1&amp;" Financial Year"</f>
        <v>Forecast 2026-27 Financial Year</v>
      </c>
      <c r="K24" s="1" t="str">
        <f>"Dec"&amp;" "&amp;RIGHT(LEFT($D$4,4),2)+1</f>
        <v>Dec 26</v>
      </c>
    </row>
    <row r="25" spans="2:11" x14ac:dyDescent="0.2">
      <c r="B25" s="8" t="s">
        <v>619</v>
      </c>
      <c r="D25" s="1" t="str">
        <f>"Forecast "&amp;LEFT($D$4,4)+2&amp;"-"&amp;RIGHT($D$4,2)+2&amp;" Financial Year"</f>
        <v>Forecast 2027-28 Financial Year</v>
      </c>
      <c r="K25" s="1" t="str">
        <f>"Jan"&amp;" "&amp;RIGHT(LEFT($D$4,4),2)+2</f>
        <v>Jan 27</v>
      </c>
    </row>
    <row r="26" spans="2:11" x14ac:dyDescent="0.2">
      <c r="K26" s="1" t="str">
        <f>"Feb"&amp;" "&amp;RIGHT(LEFT($D$4,4),2)+2</f>
        <v>Feb 27</v>
      </c>
    </row>
    <row r="27" spans="2:11" x14ac:dyDescent="0.2">
      <c r="B27" s="2" t="s">
        <v>624</v>
      </c>
      <c r="K27" s="1" t="str">
        <f>"Mar"&amp;" "&amp;RIGHT(LEFT($D$4,4),2)+2</f>
        <v>Mar 27</v>
      </c>
    </row>
    <row r="28" spans="2:11" x14ac:dyDescent="0.2">
      <c r="B28" s="87" t="s">
        <v>814</v>
      </c>
      <c r="K28" s="1" t="str">
        <f>"Apr"&amp;" "&amp;RIGHT(LEFT($D$4,4),2)+2</f>
        <v>Apr 27</v>
      </c>
    </row>
    <row r="29" spans="2:11" x14ac:dyDescent="0.2">
      <c r="B29" s="87" t="s">
        <v>625</v>
      </c>
      <c r="K29" s="1" t="str">
        <f>"May"&amp;" "&amp;RIGHT(LEFT($D$4,4),2)+2</f>
        <v>May 27</v>
      </c>
    </row>
    <row r="30" spans="2:11" x14ac:dyDescent="0.2">
      <c r="K30" s="1" t="str">
        <f>"Jun"&amp;" "&amp;RIGHT(LEFT($D$4,4),2)+2</f>
        <v>Jun 27</v>
      </c>
    </row>
    <row r="31" spans="2:11" x14ac:dyDescent="0.2">
      <c r="B31" s="88" t="s">
        <v>388</v>
      </c>
      <c r="K31" s="1" t="str">
        <f>"Jul"&amp;" "&amp;RIGHT(LEFT($D$4,4),2)+2</f>
        <v>Jul 27</v>
      </c>
    </row>
    <row r="32" spans="2:11" x14ac:dyDescent="0.2">
      <c r="K32" s="1" t="str">
        <f>"Aug"&amp;" "&amp;RIGHT(LEFT($D$4,4),2)+2</f>
        <v>Aug 27</v>
      </c>
    </row>
    <row r="33" spans="2:11" x14ac:dyDescent="0.2">
      <c r="B33" s="10" t="s">
        <v>356</v>
      </c>
      <c r="K33" s="1" t="str">
        <f>"Sep"&amp;" "&amp;RIGHT(LEFT($D$4,4),2)+2</f>
        <v>Sep 27</v>
      </c>
    </row>
    <row r="34" spans="2:11" x14ac:dyDescent="0.2">
      <c r="B34" s="8" t="s">
        <v>477</v>
      </c>
      <c r="K34" s="1" t="str">
        <f>"Oct"&amp;" "&amp;RIGHT(LEFT($D$4,4),2)+2</f>
        <v>Oct 27</v>
      </c>
    </row>
    <row r="35" spans="2:11" x14ac:dyDescent="0.2">
      <c r="B35" s="8" t="s">
        <v>467</v>
      </c>
      <c r="K35" s="1" t="str">
        <f>"Nov"&amp;" "&amp;RIGHT(LEFT($D$4,4),2)+2</f>
        <v>Nov 27</v>
      </c>
    </row>
    <row r="36" spans="2:11" x14ac:dyDescent="0.2">
      <c r="B36" s="8" t="s">
        <v>509</v>
      </c>
      <c r="K36" s="1" t="str">
        <f>"Dec"&amp;" "&amp;RIGHT(LEFT($D$4,4),2)+2</f>
        <v>Dec 27</v>
      </c>
    </row>
    <row r="37" spans="2:11" x14ac:dyDescent="0.2">
      <c r="K37" s="1" t="str">
        <f>"Jan"&amp;" "&amp;RIGHT(LEFT($D$4,4),2)+3</f>
        <v>Jan 28</v>
      </c>
    </row>
    <row r="38" spans="2:11" x14ac:dyDescent="0.2">
      <c r="B38" s="2" t="s">
        <v>485</v>
      </c>
      <c r="K38" s="1" t="str">
        <f>"Feb"&amp;" "&amp;RIGHT(LEFT($D$4,4),2)+3</f>
        <v>Feb 28</v>
      </c>
    </row>
    <row r="39" spans="2:11" x14ac:dyDescent="0.2">
      <c r="B39" s="8" t="s">
        <v>614</v>
      </c>
      <c r="K39" s="1" t="str">
        <f>"Mar"&amp;" "&amp;RIGHT(LEFT($D$4,4),2)+3</f>
        <v>Mar 28</v>
      </c>
    </row>
    <row r="40" spans="2:11" x14ac:dyDescent="0.2">
      <c r="B40" s="106" t="s">
        <v>688</v>
      </c>
    </row>
    <row r="41" spans="2:11" x14ac:dyDescent="0.2">
      <c r="B41" s="106"/>
    </row>
    <row r="42" spans="2:11" x14ac:dyDescent="0.2">
      <c r="B42" s="8" t="s">
        <v>486</v>
      </c>
    </row>
    <row r="43" spans="2:11" x14ac:dyDescent="0.2">
      <c r="B43" s="8" t="s">
        <v>687</v>
      </c>
    </row>
    <row r="44" spans="2:11" x14ac:dyDescent="0.2">
      <c r="B44" s="8" t="s">
        <v>487</v>
      </c>
    </row>
  </sheetData>
  <mergeCells count="1">
    <mergeCell ref="D19:F19"/>
  </mergeCells>
  <dataValidations count="2">
    <dataValidation type="list" allowBlank="1" showInputMessage="1" showErrorMessage="1" sqref="D4" xr:uid="{00000000-0002-0000-0A00-000000000000}">
      <formula1>"2023-24,2024-25,2025-26,2026-27"</formula1>
    </dataValidation>
    <dataValidation type="list" allowBlank="1" showInputMessage="1" showErrorMessage="1" sqref="D5" xr:uid="{00000000-0002-0000-0A00-000001000000}">
      <formula1>"Draft,Final"</formula1>
    </dataValidation>
  </dataValidations>
  <hyperlinks>
    <hyperlink ref="D19" r:id="rId1" xr:uid="{00000000-0004-0000-0A00-000000000000}"/>
  </hyperlinks>
  <pageMargins left="0.7" right="0.7" top="0.3" bottom="0.35" header="0.21" footer="0.3"/>
  <pageSetup paperSize="9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>
    <tabColor rgb="FF92D050"/>
    <pageSetUpPr fitToPage="1"/>
  </sheetPr>
  <dimension ref="A1:H410"/>
  <sheetViews>
    <sheetView workbookViewId="0">
      <selection activeCell="G17" sqref="G17"/>
    </sheetView>
  </sheetViews>
  <sheetFormatPr defaultColWidth="9.140625" defaultRowHeight="12.75" x14ac:dyDescent="0.2"/>
  <cols>
    <col min="1" max="1" width="5.28515625" style="1" customWidth="1"/>
    <col min="2" max="2" width="13" style="6" customWidth="1"/>
    <col min="3" max="3" width="53" style="1" customWidth="1"/>
    <col min="4" max="4" width="13.42578125" style="1" customWidth="1"/>
    <col min="5" max="5" width="11.28515625" style="1" customWidth="1"/>
    <col min="6" max="7" width="9.140625" style="1"/>
    <col min="8" max="8" width="7.7109375" style="1" customWidth="1"/>
    <col min="9" max="16384" width="9.140625" style="1"/>
  </cols>
  <sheetData>
    <row r="1" spans="1:8" ht="15.75" x14ac:dyDescent="0.25">
      <c r="B1" s="20" t="s">
        <v>362</v>
      </c>
      <c r="D1" s="88" t="s">
        <v>388</v>
      </c>
    </row>
    <row r="3" spans="1:8" x14ac:dyDescent="0.2">
      <c r="B3" s="4" t="s">
        <v>74</v>
      </c>
      <c r="C3" s="2" t="s">
        <v>76</v>
      </c>
      <c r="D3" s="2" t="s">
        <v>505</v>
      </c>
      <c r="E3" s="2" t="s">
        <v>75</v>
      </c>
      <c r="G3" s="8"/>
      <c r="H3" s="8"/>
    </row>
    <row r="4" spans="1:8" x14ac:dyDescent="0.2">
      <c r="A4" s="1" t="s">
        <v>309</v>
      </c>
      <c r="B4" s="7">
        <v>3407</v>
      </c>
      <c r="C4" t="s">
        <v>401</v>
      </c>
      <c r="D4" s="3" t="s">
        <v>506</v>
      </c>
      <c r="E4" t="s">
        <v>174</v>
      </c>
    </row>
    <row r="5" spans="1:8" x14ac:dyDescent="0.2">
      <c r="A5" s="1" t="s">
        <v>309</v>
      </c>
      <c r="B5" s="7">
        <v>2940</v>
      </c>
      <c r="C5" t="s">
        <v>720</v>
      </c>
      <c r="D5" s="3" t="s">
        <v>660</v>
      </c>
      <c r="E5" s="3" t="s">
        <v>754</v>
      </c>
    </row>
    <row r="6" spans="1:8" x14ac:dyDescent="0.2">
      <c r="A6" s="1" t="s">
        <v>309</v>
      </c>
      <c r="B6" s="7">
        <v>4463</v>
      </c>
      <c r="C6" t="s">
        <v>395</v>
      </c>
      <c r="D6" s="3" t="s">
        <v>660</v>
      </c>
      <c r="E6" t="s">
        <v>397</v>
      </c>
    </row>
    <row r="7" spans="1:8" x14ac:dyDescent="0.2">
      <c r="A7" s="1" t="s">
        <v>309</v>
      </c>
      <c r="B7" s="7">
        <v>3580</v>
      </c>
      <c r="C7" t="s">
        <v>402</v>
      </c>
      <c r="D7" s="3" t="s">
        <v>506</v>
      </c>
      <c r="E7" t="s">
        <v>223</v>
      </c>
    </row>
    <row r="8" spans="1:8" x14ac:dyDescent="0.2">
      <c r="A8" s="1" t="s">
        <v>309</v>
      </c>
      <c r="B8" s="7">
        <v>2937</v>
      </c>
      <c r="C8" t="s">
        <v>289</v>
      </c>
      <c r="D8" s="3" t="s">
        <v>660</v>
      </c>
      <c r="E8" t="s">
        <v>228</v>
      </c>
    </row>
    <row r="9" spans="1:8" x14ac:dyDescent="0.2">
      <c r="A9" s="1" t="s">
        <v>309</v>
      </c>
      <c r="B9" s="7">
        <v>2435</v>
      </c>
      <c r="C9" t="s">
        <v>279</v>
      </c>
      <c r="D9" s="3" t="s">
        <v>660</v>
      </c>
      <c r="E9" t="s">
        <v>278</v>
      </c>
    </row>
    <row r="10" spans="1:8" x14ac:dyDescent="0.2">
      <c r="A10" s="1" t="s">
        <v>309</v>
      </c>
      <c r="B10" s="7">
        <v>2415</v>
      </c>
      <c r="C10" t="s">
        <v>290</v>
      </c>
      <c r="D10" s="3" t="s">
        <v>660</v>
      </c>
      <c r="E10" t="s">
        <v>189</v>
      </c>
    </row>
    <row r="11" spans="1:8" x14ac:dyDescent="0.2">
      <c r="A11" s="1" t="s">
        <v>309</v>
      </c>
      <c r="B11" s="7">
        <v>2268</v>
      </c>
      <c r="C11" t="s">
        <v>153</v>
      </c>
      <c r="D11" s="3" t="s">
        <v>660</v>
      </c>
      <c r="E11" t="s">
        <v>152</v>
      </c>
    </row>
    <row r="12" spans="1:8" x14ac:dyDescent="0.2">
      <c r="A12" s="1" t="s">
        <v>309</v>
      </c>
      <c r="B12" s="7">
        <v>2343</v>
      </c>
      <c r="C12" s="3" t="s">
        <v>291</v>
      </c>
      <c r="D12" s="3" t="s">
        <v>660</v>
      </c>
      <c r="E12" t="s">
        <v>270</v>
      </c>
    </row>
    <row r="13" spans="1:8" x14ac:dyDescent="0.2">
      <c r="A13" s="1" t="s">
        <v>309</v>
      </c>
      <c r="B13" s="7">
        <v>2149</v>
      </c>
      <c r="C13" t="s">
        <v>251</v>
      </c>
      <c r="D13" s="3" t="s">
        <v>660</v>
      </c>
      <c r="E13" t="s">
        <v>250</v>
      </c>
    </row>
    <row r="14" spans="1:8" x14ac:dyDescent="0.2">
      <c r="A14" s="1" t="s">
        <v>309</v>
      </c>
      <c r="B14" s="7">
        <v>2136</v>
      </c>
      <c r="C14" t="s">
        <v>403</v>
      </c>
      <c r="D14" s="3" t="s">
        <v>660</v>
      </c>
      <c r="E14" t="s">
        <v>196</v>
      </c>
    </row>
    <row r="15" spans="1:8" x14ac:dyDescent="0.2">
      <c r="A15" s="1" t="s">
        <v>309</v>
      </c>
      <c r="B15" s="7">
        <v>2430</v>
      </c>
      <c r="C15" t="s">
        <v>215</v>
      </c>
      <c r="D15" s="3" t="s">
        <v>660</v>
      </c>
      <c r="E15" t="s">
        <v>214</v>
      </c>
    </row>
    <row r="16" spans="1:8" x14ac:dyDescent="0.2">
      <c r="A16" s="1" t="s">
        <v>309</v>
      </c>
      <c r="B16" s="7">
        <v>3050</v>
      </c>
      <c r="C16" t="s">
        <v>404</v>
      </c>
      <c r="D16" s="3" t="s">
        <v>506</v>
      </c>
      <c r="E16" t="s">
        <v>160</v>
      </c>
    </row>
    <row r="17" spans="1:5" x14ac:dyDescent="0.2">
      <c r="A17" s="1" t="s">
        <v>309</v>
      </c>
      <c r="B17" s="7">
        <v>3941</v>
      </c>
      <c r="C17" t="s">
        <v>230</v>
      </c>
      <c r="D17" s="3" t="s">
        <v>660</v>
      </c>
      <c r="E17" t="s">
        <v>229</v>
      </c>
    </row>
    <row r="18" spans="1:5" x14ac:dyDescent="0.2">
      <c r="A18" s="1" t="s">
        <v>309</v>
      </c>
      <c r="B18" s="7">
        <v>2427</v>
      </c>
      <c r="C18" t="s">
        <v>721</v>
      </c>
      <c r="D18" s="3" t="s">
        <v>661</v>
      </c>
      <c r="E18" t="s">
        <v>206</v>
      </c>
    </row>
    <row r="19" spans="1:5" x14ac:dyDescent="0.2">
      <c r="A19" s="1" t="s">
        <v>309</v>
      </c>
      <c r="B19" s="7">
        <v>3350</v>
      </c>
      <c r="C19" t="s">
        <v>405</v>
      </c>
      <c r="D19" s="3" t="s">
        <v>506</v>
      </c>
      <c r="E19" t="s">
        <v>190</v>
      </c>
    </row>
    <row r="20" spans="1:5" x14ac:dyDescent="0.2">
      <c r="A20" s="1" t="s">
        <v>309</v>
      </c>
      <c r="B20" s="7">
        <v>5220</v>
      </c>
      <c r="C20" s="3" t="s">
        <v>817</v>
      </c>
      <c r="D20" s="3" t="s">
        <v>661</v>
      </c>
      <c r="E20" t="s">
        <v>165</v>
      </c>
    </row>
    <row r="21" spans="1:5" x14ac:dyDescent="0.2">
      <c r="A21" s="1" t="s">
        <v>309</v>
      </c>
      <c r="B21" s="7">
        <v>2949</v>
      </c>
      <c r="C21" t="s">
        <v>210</v>
      </c>
      <c r="D21" s="3" t="s">
        <v>661</v>
      </c>
      <c r="E21" t="s">
        <v>209</v>
      </c>
    </row>
    <row r="22" spans="1:5" x14ac:dyDescent="0.2">
      <c r="A22" s="1" t="s">
        <v>309</v>
      </c>
      <c r="B22" s="7">
        <v>2056</v>
      </c>
      <c r="C22" t="s">
        <v>686</v>
      </c>
      <c r="D22" s="3" t="s">
        <v>660</v>
      </c>
      <c r="E22" t="s">
        <v>248</v>
      </c>
    </row>
    <row r="23" spans="1:5" x14ac:dyDescent="0.2">
      <c r="A23" s="1" t="s">
        <v>309</v>
      </c>
      <c r="B23" s="7">
        <v>2907</v>
      </c>
      <c r="C23" s="3" t="s">
        <v>501</v>
      </c>
      <c r="D23" s="3" t="s">
        <v>660</v>
      </c>
      <c r="E23" t="s">
        <v>488</v>
      </c>
    </row>
    <row r="24" spans="1:5" x14ac:dyDescent="0.2">
      <c r="A24" s="1" t="s">
        <v>309</v>
      </c>
      <c r="B24" s="7">
        <v>1001</v>
      </c>
      <c r="C24" t="s">
        <v>292</v>
      </c>
      <c r="D24" s="3" t="s">
        <v>662</v>
      </c>
      <c r="E24" t="s">
        <v>137</v>
      </c>
    </row>
    <row r="25" spans="1:5" x14ac:dyDescent="0.2">
      <c r="A25" s="1" t="s">
        <v>309</v>
      </c>
      <c r="B25" s="7">
        <v>3317</v>
      </c>
      <c r="C25" t="s">
        <v>406</v>
      </c>
      <c r="D25" s="3" t="s">
        <v>506</v>
      </c>
      <c r="E25" t="s">
        <v>181</v>
      </c>
    </row>
    <row r="26" spans="1:5" x14ac:dyDescent="0.2">
      <c r="A26" s="1" t="s">
        <v>309</v>
      </c>
      <c r="B26" s="7">
        <v>2873</v>
      </c>
      <c r="C26" t="s">
        <v>293</v>
      </c>
      <c r="D26" s="3" t="s">
        <v>660</v>
      </c>
      <c r="E26" t="s">
        <v>212</v>
      </c>
    </row>
    <row r="27" spans="1:5" x14ac:dyDescent="0.2">
      <c r="A27" s="1" t="s">
        <v>309</v>
      </c>
      <c r="B27" s="7">
        <v>2929</v>
      </c>
      <c r="C27" t="s">
        <v>222</v>
      </c>
      <c r="D27" s="3" t="s">
        <v>661</v>
      </c>
      <c r="E27" t="s">
        <v>221</v>
      </c>
    </row>
    <row r="28" spans="1:5" x14ac:dyDescent="0.2">
      <c r="A28" s="1" t="s">
        <v>309</v>
      </c>
      <c r="B28" s="7">
        <v>2960</v>
      </c>
      <c r="C28" t="s">
        <v>294</v>
      </c>
      <c r="D28" s="3" t="s">
        <v>660</v>
      </c>
      <c r="E28" t="s">
        <v>826</v>
      </c>
    </row>
    <row r="29" spans="1:5" x14ac:dyDescent="0.2">
      <c r="A29" s="1" t="s">
        <v>309</v>
      </c>
      <c r="B29" s="7">
        <v>1004</v>
      </c>
      <c r="C29" t="s">
        <v>295</v>
      </c>
      <c r="D29" s="3" t="s">
        <v>662</v>
      </c>
      <c r="E29" t="s">
        <v>140</v>
      </c>
    </row>
    <row r="30" spans="1:5" x14ac:dyDescent="0.2">
      <c r="A30" s="1" t="s">
        <v>309</v>
      </c>
      <c r="B30" s="7">
        <v>2156</v>
      </c>
      <c r="C30" t="s">
        <v>263</v>
      </c>
      <c r="D30" s="3" t="s">
        <v>660</v>
      </c>
      <c r="E30" t="s">
        <v>262</v>
      </c>
    </row>
    <row r="31" spans="1:5" x14ac:dyDescent="0.2">
      <c r="A31" s="1" t="s">
        <v>309</v>
      </c>
      <c r="B31" s="7">
        <v>2951</v>
      </c>
      <c r="C31" t="s">
        <v>407</v>
      </c>
      <c r="D31" s="3" t="s">
        <v>660</v>
      </c>
      <c r="E31" t="s">
        <v>269</v>
      </c>
    </row>
    <row r="32" spans="1:5" x14ac:dyDescent="0.2">
      <c r="A32" s="1" t="s">
        <v>309</v>
      </c>
      <c r="B32" s="7">
        <v>2083</v>
      </c>
      <c r="C32" t="s">
        <v>500</v>
      </c>
      <c r="D32" s="3" t="s">
        <v>660</v>
      </c>
      <c r="E32" t="s">
        <v>231</v>
      </c>
    </row>
    <row r="33" spans="1:5" x14ac:dyDescent="0.2">
      <c r="A33" s="1" t="s">
        <v>309</v>
      </c>
      <c r="B33" s="7">
        <v>3344</v>
      </c>
      <c r="C33" t="s">
        <v>408</v>
      </c>
      <c r="D33" s="3" t="s">
        <v>506</v>
      </c>
      <c r="E33" t="s">
        <v>171</v>
      </c>
    </row>
    <row r="34" spans="1:5" x14ac:dyDescent="0.2">
      <c r="A34" s="1" t="s">
        <v>309</v>
      </c>
      <c r="B34" s="7">
        <v>3026</v>
      </c>
      <c r="C34" t="s">
        <v>722</v>
      </c>
      <c r="D34" s="3" t="s">
        <v>663</v>
      </c>
      <c r="E34" t="s">
        <v>185</v>
      </c>
    </row>
    <row r="35" spans="1:5" x14ac:dyDescent="0.2">
      <c r="A35" s="1" t="s">
        <v>309</v>
      </c>
      <c r="B35" s="7">
        <v>2209</v>
      </c>
      <c r="C35" s="3" t="s">
        <v>766</v>
      </c>
      <c r="D35" s="3" t="s">
        <v>660</v>
      </c>
      <c r="E35" t="s">
        <v>489</v>
      </c>
    </row>
    <row r="36" spans="1:5" x14ac:dyDescent="0.2">
      <c r="A36" s="1" t="s">
        <v>309</v>
      </c>
      <c r="B36" s="7">
        <v>2150</v>
      </c>
      <c r="C36" t="s">
        <v>247</v>
      </c>
      <c r="D36" s="3" t="s">
        <v>660</v>
      </c>
      <c r="E36" t="s">
        <v>246</v>
      </c>
    </row>
    <row r="37" spans="1:5" x14ac:dyDescent="0.2">
      <c r="A37" s="1" t="s">
        <v>309</v>
      </c>
      <c r="B37" s="7">
        <v>2954</v>
      </c>
      <c r="C37" t="s">
        <v>409</v>
      </c>
      <c r="D37" s="3" t="s">
        <v>660</v>
      </c>
      <c r="E37" t="s">
        <v>268</v>
      </c>
    </row>
    <row r="38" spans="1:5" x14ac:dyDescent="0.2">
      <c r="A38" s="1" t="s">
        <v>309</v>
      </c>
      <c r="B38" s="7">
        <v>2400</v>
      </c>
      <c r="C38" t="s">
        <v>191</v>
      </c>
      <c r="D38" s="3" t="s">
        <v>661</v>
      </c>
      <c r="E38" t="s">
        <v>828</v>
      </c>
    </row>
    <row r="39" spans="1:5" x14ac:dyDescent="0.2">
      <c r="A39" s="1" t="s">
        <v>309</v>
      </c>
      <c r="B39" s="7">
        <v>5218</v>
      </c>
      <c r="C39" t="s">
        <v>723</v>
      </c>
      <c r="D39" s="3" t="s">
        <v>661</v>
      </c>
      <c r="E39" t="s">
        <v>239</v>
      </c>
    </row>
    <row r="40" spans="1:5" x14ac:dyDescent="0.2">
      <c r="A40" s="1" t="s">
        <v>309</v>
      </c>
      <c r="B40" s="7">
        <v>3927</v>
      </c>
      <c r="C40" t="s">
        <v>410</v>
      </c>
      <c r="D40" s="3" t="s">
        <v>506</v>
      </c>
      <c r="E40" t="s">
        <v>176</v>
      </c>
    </row>
    <row r="41" spans="1:5" x14ac:dyDescent="0.2">
      <c r="A41" s="1" t="s">
        <v>309</v>
      </c>
      <c r="B41" s="7">
        <v>2428</v>
      </c>
      <c r="C41" t="s">
        <v>411</v>
      </c>
      <c r="D41" s="3" t="s">
        <v>660</v>
      </c>
      <c r="E41" t="s">
        <v>829</v>
      </c>
    </row>
    <row r="42" spans="1:5" x14ac:dyDescent="0.2">
      <c r="A42" s="1" t="s">
        <v>309</v>
      </c>
      <c r="B42" s="7">
        <v>1009</v>
      </c>
      <c r="C42" t="s">
        <v>724</v>
      </c>
      <c r="D42" s="3" t="s">
        <v>662</v>
      </c>
      <c r="E42" t="s">
        <v>138</v>
      </c>
    </row>
    <row r="43" spans="1:5" x14ac:dyDescent="0.2">
      <c r="A43" s="1" t="s">
        <v>309</v>
      </c>
      <c r="B43" s="7">
        <v>5202</v>
      </c>
      <c r="C43" t="s">
        <v>725</v>
      </c>
      <c r="D43" s="3" t="s">
        <v>661</v>
      </c>
      <c r="E43" t="s">
        <v>199</v>
      </c>
    </row>
    <row r="44" spans="1:5" x14ac:dyDescent="0.2">
      <c r="A44" s="1" t="s">
        <v>309</v>
      </c>
      <c r="B44" s="7">
        <v>2329</v>
      </c>
      <c r="C44" t="s">
        <v>150</v>
      </c>
      <c r="D44" s="3" t="s">
        <v>660</v>
      </c>
      <c r="E44" t="s">
        <v>149</v>
      </c>
    </row>
    <row r="45" spans="1:5" x14ac:dyDescent="0.2">
      <c r="A45" s="1" t="s">
        <v>309</v>
      </c>
      <c r="B45" s="7">
        <v>3416</v>
      </c>
      <c r="C45" t="s">
        <v>412</v>
      </c>
      <c r="D45" s="3" t="s">
        <v>506</v>
      </c>
      <c r="E45" t="s">
        <v>163</v>
      </c>
    </row>
    <row r="46" spans="1:5" x14ac:dyDescent="0.2">
      <c r="A46" s="1" t="s">
        <v>309</v>
      </c>
      <c r="B46" s="7">
        <v>2928</v>
      </c>
      <c r="C46" t="s">
        <v>413</v>
      </c>
      <c r="D46" s="3" t="s">
        <v>660</v>
      </c>
      <c r="E46" t="s">
        <v>157</v>
      </c>
    </row>
    <row r="47" spans="1:5" x14ac:dyDescent="0.2">
      <c r="A47" s="1" t="s">
        <v>309</v>
      </c>
      <c r="B47" s="7">
        <v>4468</v>
      </c>
      <c r="C47" t="s">
        <v>414</v>
      </c>
      <c r="D47" s="3" t="s">
        <v>661</v>
      </c>
      <c r="E47" t="s">
        <v>283</v>
      </c>
    </row>
    <row r="48" spans="1:5" x14ac:dyDescent="0.2">
      <c r="A48" s="1" t="s">
        <v>309</v>
      </c>
      <c r="B48" s="7">
        <v>3581</v>
      </c>
      <c r="C48" t="s">
        <v>415</v>
      </c>
      <c r="D48" s="3" t="s">
        <v>506</v>
      </c>
      <c r="E48" t="s">
        <v>225</v>
      </c>
    </row>
    <row r="49" spans="1:5" x14ac:dyDescent="0.2">
      <c r="A49" s="1" t="s">
        <v>309</v>
      </c>
      <c r="B49" s="7">
        <v>2925</v>
      </c>
      <c r="C49" t="s">
        <v>416</v>
      </c>
      <c r="D49" s="3" t="s">
        <v>660</v>
      </c>
      <c r="E49" t="s">
        <v>834</v>
      </c>
    </row>
    <row r="50" spans="1:5" x14ac:dyDescent="0.2">
      <c r="A50" s="1" t="s">
        <v>309</v>
      </c>
      <c r="B50" s="7">
        <v>3940</v>
      </c>
      <c r="C50" t="s">
        <v>726</v>
      </c>
      <c r="D50" s="3" t="s">
        <v>663</v>
      </c>
      <c r="E50" t="s">
        <v>242</v>
      </c>
    </row>
    <row r="51" spans="1:5" x14ac:dyDescent="0.2">
      <c r="A51" s="1" t="s">
        <v>309</v>
      </c>
      <c r="B51" s="7">
        <v>3370</v>
      </c>
      <c r="C51" t="s">
        <v>417</v>
      </c>
      <c r="D51" s="3" t="s">
        <v>506</v>
      </c>
      <c r="E51" t="s">
        <v>835</v>
      </c>
    </row>
    <row r="52" spans="1:5" x14ac:dyDescent="0.2">
      <c r="A52" s="1" t="s">
        <v>309</v>
      </c>
      <c r="B52" s="7">
        <v>2948</v>
      </c>
      <c r="C52" t="s">
        <v>267</v>
      </c>
      <c r="D52" s="3" t="s">
        <v>660</v>
      </c>
      <c r="E52" t="s">
        <v>266</v>
      </c>
    </row>
    <row r="53" spans="1:5" x14ac:dyDescent="0.2">
      <c r="A53" s="1" t="s">
        <v>309</v>
      </c>
      <c r="B53" s="7">
        <v>3585</v>
      </c>
      <c r="C53" t="s">
        <v>418</v>
      </c>
      <c r="D53" s="3" t="s">
        <v>506</v>
      </c>
      <c r="E53" t="s">
        <v>226</v>
      </c>
    </row>
    <row r="54" spans="1:5" x14ac:dyDescent="0.2">
      <c r="A54" s="1" t="s">
        <v>309</v>
      </c>
      <c r="B54" s="7">
        <v>2101</v>
      </c>
      <c r="C54" t="s">
        <v>419</v>
      </c>
      <c r="D54" s="3" t="s">
        <v>661</v>
      </c>
      <c r="E54" t="s">
        <v>216</v>
      </c>
    </row>
    <row r="55" spans="1:5" x14ac:dyDescent="0.2">
      <c r="A55" s="1" t="s">
        <v>309</v>
      </c>
      <c r="B55" s="7">
        <v>3343</v>
      </c>
      <c r="C55" t="s">
        <v>420</v>
      </c>
      <c r="D55" s="3" t="s">
        <v>506</v>
      </c>
      <c r="E55" t="s">
        <v>219</v>
      </c>
    </row>
    <row r="56" spans="1:5" x14ac:dyDescent="0.2">
      <c r="A56" s="1" t="s">
        <v>309</v>
      </c>
      <c r="B56" s="7">
        <v>3931</v>
      </c>
      <c r="C56" t="s">
        <v>421</v>
      </c>
      <c r="D56" s="3" t="s">
        <v>506</v>
      </c>
      <c r="E56" t="s">
        <v>144</v>
      </c>
    </row>
    <row r="57" spans="1:5" x14ac:dyDescent="0.2">
      <c r="A57" s="1" t="s">
        <v>309</v>
      </c>
      <c r="B57" s="7">
        <v>2472</v>
      </c>
      <c r="C57" t="s">
        <v>208</v>
      </c>
      <c r="D57" s="3" t="s">
        <v>660</v>
      </c>
      <c r="E57" t="s">
        <v>207</v>
      </c>
    </row>
    <row r="58" spans="1:5" x14ac:dyDescent="0.2">
      <c r="A58" s="1" t="s">
        <v>309</v>
      </c>
      <c r="B58" s="7">
        <v>2079</v>
      </c>
      <c r="C58" t="s">
        <v>296</v>
      </c>
      <c r="D58" s="3" t="s">
        <v>660</v>
      </c>
      <c r="E58" t="s">
        <v>830</v>
      </c>
    </row>
    <row r="59" spans="1:5" x14ac:dyDescent="0.2">
      <c r="A59" s="1" t="s">
        <v>309</v>
      </c>
      <c r="B59" s="7">
        <v>3937</v>
      </c>
      <c r="C59" t="s">
        <v>422</v>
      </c>
      <c r="D59" s="3" t="s">
        <v>660</v>
      </c>
      <c r="E59" t="s">
        <v>281</v>
      </c>
    </row>
    <row r="60" spans="1:5" x14ac:dyDescent="0.2">
      <c r="A60" s="1" t="s">
        <v>309</v>
      </c>
      <c r="B60" s="7">
        <v>2445</v>
      </c>
      <c r="C60" t="s">
        <v>297</v>
      </c>
      <c r="D60" s="3" t="s">
        <v>660</v>
      </c>
      <c r="E60" t="s">
        <v>141</v>
      </c>
    </row>
    <row r="61" spans="1:5" x14ac:dyDescent="0.2">
      <c r="A61" s="1" t="s">
        <v>309</v>
      </c>
      <c r="B61" s="7">
        <v>2493</v>
      </c>
      <c r="C61" t="s">
        <v>298</v>
      </c>
      <c r="D61" s="3" t="s">
        <v>660</v>
      </c>
      <c r="E61" t="s">
        <v>261</v>
      </c>
    </row>
    <row r="62" spans="1:5" x14ac:dyDescent="0.2">
      <c r="A62" s="1" t="s">
        <v>309</v>
      </c>
      <c r="B62" s="7">
        <v>2311</v>
      </c>
      <c r="C62" t="s">
        <v>276</v>
      </c>
      <c r="D62" s="3" t="s">
        <v>660</v>
      </c>
      <c r="E62" t="s">
        <v>275</v>
      </c>
    </row>
    <row r="63" spans="1:5" x14ac:dyDescent="0.2">
      <c r="A63" s="1" t="s">
        <v>309</v>
      </c>
      <c r="B63" s="7">
        <v>3061</v>
      </c>
      <c r="C63" t="s">
        <v>423</v>
      </c>
      <c r="D63" s="3" t="s">
        <v>663</v>
      </c>
      <c r="E63" t="s">
        <v>824</v>
      </c>
    </row>
    <row r="64" spans="1:5" x14ac:dyDescent="0.2">
      <c r="A64" s="1" t="s">
        <v>309</v>
      </c>
      <c r="B64" s="7">
        <v>2315</v>
      </c>
      <c r="C64" t="s">
        <v>187</v>
      </c>
      <c r="D64" s="3" t="s">
        <v>661</v>
      </c>
      <c r="E64" t="s">
        <v>186</v>
      </c>
    </row>
    <row r="65" spans="1:5" x14ac:dyDescent="0.2">
      <c r="A65" s="1" t="s">
        <v>309</v>
      </c>
      <c r="B65" s="7">
        <v>2409</v>
      </c>
      <c r="C65" t="s">
        <v>193</v>
      </c>
      <c r="D65" s="3" t="s">
        <v>661</v>
      </c>
      <c r="E65" t="s">
        <v>192</v>
      </c>
    </row>
    <row r="66" spans="1:5" x14ac:dyDescent="0.2">
      <c r="A66" s="1" t="s">
        <v>309</v>
      </c>
      <c r="B66" s="7">
        <v>3375</v>
      </c>
      <c r="C66" t="s">
        <v>424</v>
      </c>
      <c r="D66" s="3" t="s">
        <v>506</v>
      </c>
      <c r="E66" t="s">
        <v>249</v>
      </c>
    </row>
    <row r="67" spans="1:5" x14ac:dyDescent="0.2">
      <c r="A67" s="1" t="s">
        <v>309</v>
      </c>
      <c r="B67" s="7">
        <v>3408</v>
      </c>
      <c r="C67" s="3" t="s">
        <v>762</v>
      </c>
      <c r="D67" s="3" t="s">
        <v>506</v>
      </c>
      <c r="E67" s="3" t="s">
        <v>763</v>
      </c>
    </row>
    <row r="68" spans="1:5" x14ac:dyDescent="0.2">
      <c r="A68" s="1" t="s">
        <v>309</v>
      </c>
      <c r="B68" s="7">
        <v>2072</v>
      </c>
      <c r="C68" t="s">
        <v>425</v>
      </c>
      <c r="D68" s="3" t="s">
        <v>660</v>
      </c>
      <c r="E68" t="s">
        <v>243</v>
      </c>
    </row>
    <row r="69" spans="1:5" x14ac:dyDescent="0.2">
      <c r="A69" s="1" t="s">
        <v>309</v>
      </c>
      <c r="B69" s="7">
        <v>3376</v>
      </c>
      <c r="C69" t="s">
        <v>426</v>
      </c>
      <c r="D69" s="3" t="s">
        <v>506</v>
      </c>
      <c r="E69" t="s">
        <v>264</v>
      </c>
    </row>
    <row r="70" spans="1:5" x14ac:dyDescent="0.2">
      <c r="A70" s="1" t="s">
        <v>309</v>
      </c>
      <c r="B70" s="7">
        <v>2335</v>
      </c>
      <c r="C70" t="s">
        <v>257</v>
      </c>
      <c r="D70" s="3" t="s">
        <v>660</v>
      </c>
      <c r="E70" t="s">
        <v>256</v>
      </c>
    </row>
    <row r="71" spans="1:5" x14ac:dyDescent="0.2">
      <c r="A71" s="1" t="s">
        <v>309</v>
      </c>
      <c r="B71" s="7">
        <v>4465</v>
      </c>
      <c r="C71" t="s">
        <v>288</v>
      </c>
      <c r="D71" s="3" t="s">
        <v>660</v>
      </c>
      <c r="E71" t="s">
        <v>287</v>
      </c>
    </row>
    <row r="72" spans="1:5" x14ac:dyDescent="0.2">
      <c r="A72" s="1" t="s">
        <v>309</v>
      </c>
      <c r="B72" s="7">
        <v>2257</v>
      </c>
      <c r="C72" t="s">
        <v>205</v>
      </c>
      <c r="D72" s="3" t="s">
        <v>660</v>
      </c>
      <c r="E72" t="s">
        <v>204</v>
      </c>
    </row>
    <row r="73" spans="1:5" x14ac:dyDescent="0.2">
      <c r="A73" s="1" t="s">
        <v>309</v>
      </c>
      <c r="B73" s="7">
        <v>2394</v>
      </c>
      <c r="C73" t="s">
        <v>143</v>
      </c>
      <c r="D73" s="3" t="s">
        <v>660</v>
      </c>
      <c r="E73" t="s">
        <v>142</v>
      </c>
    </row>
    <row r="74" spans="1:5" x14ac:dyDescent="0.2">
      <c r="A74" s="1" t="s">
        <v>309</v>
      </c>
      <c r="B74" s="7">
        <v>2448</v>
      </c>
      <c r="C74" t="s">
        <v>179</v>
      </c>
      <c r="D74" s="3" t="s">
        <v>660</v>
      </c>
      <c r="E74" t="s">
        <v>825</v>
      </c>
    </row>
    <row r="75" spans="1:5" x14ac:dyDescent="0.2">
      <c r="A75" s="1" t="s">
        <v>309</v>
      </c>
      <c r="B75" s="7">
        <v>5211</v>
      </c>
      <c r="C75" t="s">
        <v>427</v>
      </c>
      <c r="D75" s="3" t="s">
        <v>661</v>
      </c>
      <c r="E75" t="s">
        <v>166</v>
      </c>
    </row>
    <row r="76" spans="1:5" x14ac:dyDescent="0.2">
      <c r="A76" s="1" t="s">
        <v>309</v>
      </c>
      <c r="B76" s="7">
        <v>2417</v>
      </c>
      <c r="C76" t="s">
        <v>428</v>
      </c>
      <c r="D76" s="3" t="s">
        <v>660</v>
      </c>
      <c r="E76" t="s">
        <v>198</v>
      </c>
    </row>
    <row r="77" spans="1:5" x14ac:dyDescent="0.2">
      <c r="A77" s="1" t="s">
        <v>309</v>
      </c>
      <c r="B77" s="7">
        <v>2359</v>
      </c>
      <c r="C77" t="s">
        <v>429</v>
      </c>
      <c r="D77" s="3" t="s">
        <v>660</v>
      </c>
      <c r="E77" t="s">
        <v>151</v>
      </c>
    </row>
    <row r="78" spans="1:5" x14ac:dyDescent="0.2">
      <c r="A78" s="1" t="s">
        <v>309</v>
      </c>
      <c r="B78" s="7">
        <v>3387</v>
      </c>
      <c r="C78" t="s">
        <v>727</v>
      </c>
      <c r="D78" s="3" t="s">
        <v>506</v>
      </c>
      <c r="E78" t="s">
        <v>260</v>
      </c>
    </row>
    <row r="79" spans="1:5" x14ac:dyDescent="0.2">
      <c r="A79" s="1" t="s">
        <v>309</v>
      </c>
      <c r="B79" s="7">
        <v>2457</v>
      </c>
      <c r="C79" t="s">
        <v>430</v>
      </c>
      <c r="D79" s="3" t="s">
        <v>660</v>
      </c>
      <c r="E79" t="s">
        <v>271</v>
      </c>
    </row>
    <row r="80" spans="1:5" x14ac:dyDescent="0.2">
      <c r="A80" s="1" t="s">
        <v>309</v>
      </c>
      <c r="B80" s="7">
        <v>3065</v>
      </c>
      <c r="C80" t="s">
        <v>431</v>
      </c>
      <c r="D80" s="3" t="s">
        <v>506</v>
      </c>
      <c r="E80" t="s">
        <v>234</v>
      </c>
    </row>
    <row r="81" spans="1:5" x14ac:dyDescent="0.2">
      <c r="A81" s="1" t="s">
        <v>309</v>
      </c>
      <c r="B81" s="7">
        <v>4623</v>
      </c>
      <c r="C81" t="s">
        <v>396</v>
      </c>
      <c r="D81" s="3" t="s">
        <v>506</v>
      </c>
      <c r="E81" t="s">
        <v>398</v>
      </c>
    </row>
    <row r="82" spans="1:5" x14ac:dyDescent="0.2">
      <c r="A82" s="1" t="s">
        <v>309</v>
      </c>
      <c r="B82" s="7">
        <v>3468</v>
      </c>
      <c r="C82" t="s">
        <v>728</v>
      </c>
      <c r="D82" s="3" t="s">
        <v>506</v>
      </c>
      <c r="E82" t="s">
        <v>490</v>
      </c>
    </row>
    <row r="83" spans="1:5" x14ac:dyDescent="0.2">
      <c r="A83" s="1" t="s">
        <v>309</v>
      </c>
      <c r="B83" s="7">
        <v>2361</v>
      </c>
      <c r="C83" t="s">
        <v>299</v>
      </c>
      <c r="D83" s="3" t="s">
        <v>660</v>
      </c>
      <c r="E83" t="s">
        <v>167</v>
      </c>
    </row>
    <row r="84" spans="1:5" x14ac:dyDescent="0.2">
      <c r="A84" s="1" t="s">
        <v>309</v>
      </c>
      <c r="B84" s="7">
        <v>2138</v>
      </c>
      <c r="C84" t="s">
        <v>300</v>
      </c>
      <c r="D84" s="3" t="s">
        <v>660</v>
      </c>
      <c r="E84" t="s">
        <v>188</v>
      </c>
    </row>
    <row r="85" spans="1:5" x14ac:dyDescent="0.2">
      <c r="A85" s="1" t="s">
        <v>309</v>
      </c>
      <c r="B85" s="7">
        <v>2137</v>
      </c>
      <c r="C85" t="s">
        <v>301</v>
      </c>
      <c r="D85" s="3" t="s">
        <v>660</v>
      </c>
      <c r="E85" t="s">
        <v>197</v>
      </c>
    </row>
    <row r="86" spans="1:5" x14ac:dyDescent="0.2">
      <c r="A86" s="1" t="s">
        <v>309</v>
      </c>
      <c r="B86" s="7">
        <v>2964</v>
      </c>
      <c r="C86" t="s">
        <v>238</v>
      </c>
      <c r="D86" s="3" t="s">
        <v>660</v>
      </c>
      <c r="E86" t="s">
        <v>237</v>
      </c>
    </row>
    <row r="87" spans="1:5" x14ac:dyDescent="0.2">
      <c r="A87" s="1" t="s">
        <v>309</v>
      </c>
      <c r="B87" s="7">
        <v>4611</v>
      </c>
      <c r="C87" t="s">
        <v>432</v>
      </c>
      <c r="D87" s="3" t="s">
        <v>506</v>
      </c>
      <c r="E87" t="s">
        <v>284</v>
      </c>
    </row>
    <row r="88" spans="1:5" x14ac:dyDescent="0.2">
      <c r="A88" s="1" t="s">
        <v>309</v>
      </c>
      <c r="B88" s="7">
        <v>3469</v>
      </c>
      <c r="C88" t="s">
        <v>274</v>
      </c>
      <c r="D88" s="3" t="s">
        <v>506</v>
      </c>
      <c r="E88" t="s">
        <v>273</v>
      </c>
    </row>
    <row r="89" spans="1:5" x14ac:dyDescent="0.2">
      <c r="A89" s="1" t="s">
        <v>309</v>
      </c>
      <c r="B89" s="7">
        <v>2468</v>
      </c>
      <c r="C89" t="s">
        <v>302</v>
      </c>
      <c r="D89" s="3" t="s">
        <v>660</v>
      </c>
      <c r="E89" t="s">
        <v>832</v>
      </c>
    </row>
    <row r="90" spans="1:5" x14ac:dyDescent="0.2">
      <c r="A90" s="1" t="s">
        <v>309</v>
      </c>
      <c r="B90" s="7">
        <v>3924</v>
      </c>
      <c r="C90" t="s">
        <v>433</v>
      </c>
      <c r="D90" s="3" t="s">
        <v>506</v>
      </c>
      <c r="E90" t="s">
        <v>169</v>
      </c>
    </row>
    <row r="91" spans="1:5" x14ac:dyDescent="0.2">
      <c r="A91" s="1" t="s">
        <v>309</v>
      </c>
      <c r="B91" s="7">
        <v>4622</v>
      </c>
      <c r="C91" t="s">
        <v>286</v>
      </c>
      <c r="D91" s="3" t="s">
        <v>506</v>
      </c>
      <c r="E91" t="s">
        <v>285</v>
      </c>
    </row>
    <row r="92" spans="1:5" x14ac:dyDescent="0.2">
      <c r="A92" s="1" t="s">
        <v>309</v>
      </c>
      <c r="B92" s="7">
        <v>3470</v>
      </c>
      <c r="C92" s="3" t="s">
        <v>434</v>
      </c>
      <c r="D92" s="3" t="s">
        <v>506</v>
      </c>
      <c r="E92" t="s">
        <v>235</v>
      </c>
    </row>
    <row r="93" spans="1:5" x14ac:dyDescent="0.2">
      <c r="A93" s="1" t="s">
        <v>309</v>
      </c>
      <c r="B93" s="7">
        <v>3920</v>
      </c>
      <c r="C93" t="s">
        <v>435</v>
      </c>
      <c r="D93" s="3" t="s">
        <v>506</v>
      </c>
      <c r="E93" t="s">
        <v>154</v>
      </c>
    </row>
    <row r="94" spans="1:5" x14ac:dyDescent="0.2">
      <c r="A94" s="1" t="s">
        <v>309</v>
      </c>
      <c r="B94" s="7">
        <v>3369</v>
      </c>
      <c r="C94" t="s">
        <v>436</v>
      </c>
      <c r="D94" s="3" t="s">
        <v>506</v>
      </c>
      <c r="E94" t="s">
        <v>252</v>
      </c>
    </row>
    <row r="95" spans="1:5" x14ac:dyDescent="0.2">
      <c r="A95" s="1" t="s">
        <v>309</v>
      </c>
      <c r="B95" s="7">
        <v>3335</v>
      </c>
      <c r="C95" t="s">
        <v>437</v>
      </c>
      <c r="D95" s="3" t="s">
        <v>506</v>
      </c>
      <c r="E95" t="s">
        <v>194</v>
      </c>
    </row>
    <row r="96" spans="1:5" x14ac:dyDescent="0.2">
      <c r="A96" s="1" t="s">
        <v>309</v>
      </c>
      <c r="B96" s="7">
        <v>3064</v>
      </c>
      <c r="C96" s="3" t="s">
        <v>438</v>
      </c>
      <c r="D96" s="3" t="s">
        <v>663</v>
      </c>
      <c r="E96" s="3" t="s">
        <v>224</v>
      </c>
    </row>
    <row r="97" spans="1:5" x14ac:dyDescent="0.2">
      <c r="A97" s="1" t="s">
        <v>309</v>
      </c>
      <c r="B97" s="7">
        <v>3347</v>
      </c>
      <c r="C97" t="s">
        <v>439</v>
      </c>
      <c r="D97" s="3" t="s">
        <v>506</v>
      </c>
      <c r="E97" t="s">
        <v>173</v>
      </c>
    </row>
    <row r="98" spans="1:5" x14ac:dyDescent="0.2">
      <c r="A98" s="1" t="s">
        <v>309</v>
      </c>
      <c r="B98" s="7">
        <v>3313</v>
      </c>
      <c r="C98" t="s">
        <v>440</v>
      </c>
      <c r="D98" s="3" t="s">
        <v>506</v>
      </c>
      <c r="E98" t="s">
        <v>280</v>
      </c>
    </row>
    <row r="99" spans="1:5" x14ac:dyDescent="0.2">
      <c r="A99" s="1" t="s">
        <v>309</v>
      </c>
      <c r="B99" s="7">
        <v>3422</v>
      </c>
      <c r="C99" t="s">
        <v>170</v>
      </c>
      <c r="D99" s="3" t="s">
        <v>506</v>
      </c>
      <c r="E99" t="s">
        <v>253</v>
      </c>
    </row>
    <row r="100" spans="1:5" x14ac:dyDescent="0.2">
      <c r="A100" s="1" t="s">
        <v>309</v>
      </c>
      <c r="B100" s="7">
        <v>3423</v>
      </c>
      <c r="C100" s="3" t="s">
        <v>170</v>
      </c>
      <c r="D100" s="3" t="s">
        <v>506</v>
      </c>
      <c r="E100" t="s">
        <v>236</v>
      </c>
    </row>
    <row r="101" spans="1:5" x14ac:dyDescent="0.2">
      <c r="A101" s="1" t="s">
        <v>309</v>
      </c>
      <c r="B101" s="7">
        <v>2057</v>
      </c>
      <c r="C101" s="3" t="s">
        <v>755</v>
      </c>
      <c r="D101" s="3" t="s">
        <v>506</v>
      </c>
      <c r="E101" t="s">
        <v>756</v>
      </c>
    </row>
    <row r="102" spans="1:5" x14ac:dyDescent="0.2">
      <c r="A102" s="1" t="s">
        <v>309</v>
      </c>
      <c r="B102" s="7">
        <v>3331</v>
      </c>
      <c r="C102" t="s">
        <v>729</v>
      </c>
      <c r="D102" s="3" t="s">
        <v>506</v>
      </c>
      <c r="E102" t="s">
        <v>158</v>
      </c>
    </row>
    <row r="103" spans="1:5" x14ac:dyDescent="0.2">
      <c r="A103" s="1" t="s">
        <v>309</v>
      </c>
      <c r="B103" s="7">
        <v>3318</v>
      </c>
      <c r="C103" t="s">
        <v>441</v>
      </c>
      <c r="D103" s="3" t="s">
        <v>506</v>
      </c>
      <c r="E103" t="s">
        <v>161</v>
      </c>
    </row>
    <row r="104" spans="1:5" x14ac:dyDescent="0.2">
      <c r="A104" s="1" t="s">
        <v>309</v>
      </c>
      <c r="B104" s="7">
        <v>3341</v>
      </c>
      <c r="C104" t="s">
        <v>442</v>
      </c>
      <c r="D104" s="3" t="s">
        <v>506</v>
      </c>
      <c r="E104" t="s">
        <v>213</v>
      </c>
    </row>
    <row r="105" spans="1:5" x14ac:dyDescent="0.2">
      <c r="A105" s="1" t="s">
        <v>309</v>
      </c>
      <c r="B105" s="7">
        <v>3346</v>
      </c>
      <c r="C105" t="s">
        <v>443</v>
      </c>
      <c r="D105" s="3" t="s">
        <v>506</v>
      </c>
      <c r="E105" t="s">
        <v>172</v>
      </c>
    </row>
    <row r="106" spans="1:5" x14ac:dyDescent="0.2">
      <c r="A106" s="1" t="s">
        <v>309</v>
      </c>
      <c r="B106" s="7">
        <v>3042</v>
      </c>
      <c r="C106" t="s">
        <v>444</v>
      </c>
      <c r="D106" s="3" t="s">
        <v>663</v>
      </c>
      <c r="E106" t="s">
        <v>162</v>
      </c>
    </row>
    <row r="107" spans="1:5" x14ac:dyDescent="0.2">
      <c r="A107" s="1" t="s">
        <v>309</v>
      </c>
      <c r="B107" s="7">
        <v>3380</v>
      </c>
      <c r="C107" t="s">
        <v>730</v>
      </c>
      <c r="D107" s="3" t="s">
        <v>506</v>
      </c>
      <c r="E107" t="s">
        <v>272</v>
      </c>
    </row>
    <row r="108" spans="1:5" x14ac:dyDescent="0.2">
      <c r="A108" s="1" t="s">
        <v>309</v>
      </c>
      <c r="B108" s="7">
        <v>3035</v>
      </c>
      <c r="C108" s="3" t="s">
        <v>445</v>
      </c>
      <c r="D108" s="3" t="s">
        <v>663</v>
      </c>
      <c r="E108" t="s">
        <v>182</v>
      </c>
    </row>
    <row r="109" spans="1:5" x14ac:dyDescent="0.2">
      <c r="A109" s="1" t="s">
        <v>309</v>
      </c>
      <c r="B109" s="7">
        <v>3340</v>
      </c>
      <c r="C109" t="s">
        <v>446</v>
      </c>
      <c r="D109" s="3" t="s">
        <v>506</v>
      </c>
      <c r="E109" t="s">
        <v>218</v>
      </c>
    </row>
    <row r="110" spans="1:5" x14ac:dyDescent="0.2">
      <c r="A110" s="1" t="s">
        <v>309</v>
      </c>
      <c r="B110" s="7">
        <v>3324</v>
      </c>
      <c r="C110" t="s">
        <v>447</v>
      </c>
      <c r="D110" s="3" t="s">
        <v>506</v>
      </c>
      <c r="E110" t="s">
        <v>245</v>
      </c>
    </row>
    <row r="111" spans="1:5" x14ac:dyDescent="0.2">
      <c r="A111" s="1" t="s">
        <v>309</v>
      </c>
      <c r="B111" s="7">
        <v>3583</v>
      </c>
      <c r="C111" t="s">
        <v>448</v>
      </c>
      <c r="D111" s="3" t="s">
        <v>506</v>
      </c>
      <c r="E111" t="s">
        <v>227</v>
      </c>
    </row>
    <row r="112" spans="1:5" x14ac:dyDescent="0.2">
      <c r="A112" s="1" t="s">
        <v>309</v>
      </c>
      <c r="B112" s="7">
        <v>3357</v>
      </c>
      <c r="C112" t="s">
        <v>449</v>
      </c>
      <c r="D112" s="3" t="s">
        <v>506</v>
      </c>
      <c r="E112" t="s">
        <v>180</v>
      </c>
    </row>
    <row r="113" spans="1:5" x14ac:dyDescent="0.2">
      <c r="A113" s="1" t="s">
        <v>309</v>
      </c>
      <c r="B113" s="7">
        <v>3446</v>
      </c>
      <c r="C113" t="s">
        <v>450</v>
      </c>
      <c r="D113" s="3" t="s">
        <v>506</v>
      </c>
      <c r="E113" t="s">
        <v>203</v>
      </c>
    </row>
    <row r="114" spans="1:5" x14ac:dyDescent="0.2">
      <c r="A114" s="1" t="s">
        <v>309</v>
      </c>
      <c r="B114" s="7">
        <v>3327</v>
      </c>
      <c r="C114" t="s">
        <v>451</v>
      </c>
      <c r="D114" s="3" t="s">
        <v>506</v>
      </c>
      <c r="E114" t="s">
        <v>244</v>
      </c>
    </row>
    <row r="115" spans="1:5" x14ac:dyDescent="0.2">
      <c r="A115" s="1" t="s">
        <v>309</v>
      </c>
      <c r="B115" s="7">
        <v>3033</v>
      </c>
      <c r="C115" t="s">
        <v>731</v>
      </c>
      <c r="D115" s="3" t="s">
        <v>663</v>
      </c>
      <c r="E115" t="s">
        <v>168</v>
      </c>
    </row>
    <row r="116" spans="1:5" x14ac:dyDescent="0.2">
      <c r="A116" s="1" t="s">
        <v>309</v>
      </c>
      <c r="B116" s="7">
        <v>3314</v>
      </c>
      <c r="C116" t="s">
        <v>452</v>
      </c>
      <c r="D116" s="3" t="s">
        <v>506</v>
      </c>
      <c r="E116" t="s">
        <v>277</v>
      </c>
    </row>
    <row r="117" spans="1:5" x14ac:dyDescent="0.2">
      <c r="A117" s="1" t="s">
        <v>309</v>
      </c>
      <c r="B117" s="7">
        <v>3443</v>
      </c>
      <c r="C117" t="s">
        <v>303</v>
      </c>
      <c r="D117" s="3" t="s">
        <v>506</v>
      </c>
      <c r="E117" t="s">
        <v>258</v>
      </c>
    </row>
    <row r="118" spans="1:5" x14ac:dyDescent="0.2">
      <c r="A118" s="1" t="s">
        <v>309</v>
      </c>
      <c r="B118" s="7">
        <v>3405</v>
      </c>
      <c r="C118" t="s">
        <v>453</v>
      </c>
      <c r="D118" s="3" t="s">
        <v>506</v>
      </c>
      <c r="E118" t="s">
        <v>265</v>
      </c>
    </row>
    <row r="119" spans="1:5" x14ac:dyDescent="0.2">
      <c r="A119" s="1" t="s">
        <v>309</v>
      </c>
      <c r="B119" s="7">
        <v>3345</v>
      </c>
      <c r="C119" t="s">
        <v>454</v>
      </c>
      <c r="D119" s="3" t="s">
        <v>506</v>
      </c>
      <c r="E119" t="s">
        <v>177</v>
      </c>
    </row>
    <row r="120" spans="1:5" x14ac:dyDescent="0.2">
      <c r="A120" s="1" t="s">
        <v>309</v>
      </c>
      <c r="B120" s="7">
        <v>2446</v>
      </c>
      <c r="C120" t="s">
        <v>233</v>
      </c>
      <c r="D120" s="3" t="s">
        <v>660</v>
      </c>
      <c r="E120" t="s">
        <v>232</v>
      </c>
    </row>
    <row r="121" spans="1:5" x14ac:dyDescent="0.2">
      <c r="A121" s="1" t="s">
        <v>309</v>
      </c>
      <c r="B121" s="7">
        <v>2946</v>
      </c>
      <c r="C121" t="s">
        <v>148</v>
      </c>
      <c r="D121" s="3" t="s">
        <v>660</v>
      </c>
      <c r="E121" t="s">
        <v>147</v>
      </c>
    </row>
    <row r="122" spans="1:5" x14ac:dyDescent="0.2">
      <c r="A122" s="1" t="s">
        <v>309</v>
      </c>
      <c r="B122" s="7">
        <v>5214</v>
      </c>
      <c r="C122" t="s">
        <v>241</v>
      </c>
      <c r="D122" s="3" t="s">
        <v>661</v>
      </c>
      <c r="E122" t="s">
        <v>240</v>
      </c>
    </row>
    <row r="123" spans="1:5" x14ac:dyDescent="0.2">
      <c r="A123" s="1" t="s">
        <v>309</v>
      </c>
      <c r="B123" s="7">
        <v>2103</v>
      </c>
      <c r="C123" t="s">
        <v>217</v>
      </c>
      <c r="D123" s="3" t="s">
        <v>661</v>
      </c>
      <c r="E123" t="s">
        <v>833</v>
      </c>
    </row>
    <row r="124" spans="1:5" x14ac:dyDescent="0.2">
      <c r="A124" s="1" t="s">
        <v>309</v>
      </c>
      <c r="B124" s="7">
        <v>3415</v>
      </c>
      <c r="C124" t="s">
        <v>455</v>
      </c>
      <c r="D124" s="3" t="s">
        <v>506</v>
      </c>
      <c r="E124" t="s">
        <v>827</v>
      </c>
    </row>
    <row r="125" spans="1:5" x14ac:dyDescent="0.2">
      <c r="A125" s="1" t="s">
        <v>309</v>
      </c>
      <c r="B125" s="7">
        <v>2001</v>
      </c>
      <c r="C125" s="3" t="s">
        <v>764</v>
      </c>
      <c r="D125" s="3" t="s">
        <v>506</v>
      </c>
      <c r="E125" s="3" t="s">
        <v>765</v>
      </c>
    </row>
    <row r="126" spans="1:5" x14ac:dyDescent="0.2">
      <c r="A126" s="1" t="s">
        <v>309</v>
      </c>
      <c r="B126" s="7">
        <v>2384</v>
      </c>
      <c r="C126" t="s">
        <v>456</v>
      </c>
      <c r="D126" s="3" t="s">
        <v>660</v>
      </c>
      <c r="E126" t="s">
        <v>156</v>
      </c>
    </row>
    <row r="127" spans="1:5" x14ac:dyDescent="0.2">
      <c r="A127" s="1" t="s">
        <v>309</v>
      </c>
      <c r="B127" s="7">
        <v>2297</v>
      </c>
      <c r="C127" t="s">
        <v>255</v>
      </c>
      <c r="D127" s="3" t="s">
        <v>660</v>
      </c>
      <c r="E127" t="s">
        <v>254</v>
      </c>
    </row>
    <row r="128" spans="1:5" x14ac:dyDescent="0.2">
      <c r="A128" s="1" t="s">
        <v>309</v>
      </c>
      <c r="B128" s="7">
        <v>2099</v>
      </c>
      <c r="C128" t="s">
        <v>457</v>
      </c>
      <c r="D128" s="3" t="s">
        <v>661</v>
      </c>
      <c r="E128" t="s">
        <v>202</v>
      </c>
    </row>
    <row r="129" spans="1:5" x14ac:dyDescent="0.2">
      <c r="A129" s="1" t="s">
        <v>309</v>
      </c>
      <c r="B129" s="7">
        <v>3022</v>
      </c>
      <c r="C129" t="s">
        <v>458</v>
      </c>
      <c r="D129" s="3" t="s">
        <v>663</v>
      </c>
      <c r="E129" t="s">
        <v>220</v>
      </c>
    </row>
    <row r="130" spans="1:5" x14ac:dyDescent="0.2">
      <c r="A130" s="1" t="s">
        <v>309</v>
      </c>
      <c r="B130" s="7">
        <v>1006</v>
      </c>
      <c r="C130" t="s">
        <v>732</v>
      </c>
      <c r="D130" s="3" t="s">
        <v>662</v>
      </c>
      <c r="E130" t="s">
        <v>139</v>
      </c>
    </row>
    <row r="131" spans="1:5" x14ac:dyDescent="0.2">
      <c r="A131" s="1" t="s">
        <v>309</v>
      </c>
      <c r="B131" s="7">
        <v>5414</v>
      </c>
      <c r="C131" t="s">
        <v>459</v>
      </c>
      <c r="D131" s="3" t="s">
        <v>661</v>
      </c>
      <c r="E131" t="s">
        <v>282</v>
      </c>
    </row>
    <row r="132" spans="1:5" x14ac:dyDescent="0.2">
      <c r="A132" s="1" t="s">
        <v>309</v>
      </c>
      <c r="B132" s="7">
        <v>3333</v>
      </c>
      <c r="C132" t="s">
        <v>460</v>
      </c>
      <c r="D132" s="3" t="s">
        <v>506</v>
      </c>
      <c r="E132" t="s">
        <v>159</v>
      </c>
    </row>
    <row r="133" spans="1:5" x14ac:dyDescent="0.2">
      <c r="A133" s="1" t="s">
        <v>309</v>
      </c>
      <c r="B133" s="7">
        <v>2467</v>
      </c>
      <c r="C133" t="s">
        <v>304</v>
      </c>
      <c r="D133" s="3" t="s">
        <v>660</v>
      </c>
      <c r="E133" t="s">
        <v>145</v>
      </c>
    </row>
    <row r="134" spans="1:5" x14ac:dyDescent="0.2">
      <c r="A134" s="1" t="s">
        <v>309</v>
      </c>
      <c r="B134" s="7">
        <v>2950</v>
      </c>
      <c r="C134" t="s">
        <v>733</v>
      </c>
      <c r="D134" s="3" t="s">
        <v>661</v>
      </c>
      <c r="E134" t="s">
        <v>211</v>
      </c>
    </row>
    <row r="135" spans="1:5" x14ac:dyDescent="0.2">
      <c r="A135" s="1" t="s">
        <v>309</v>
      </c>
      <c r="B135" s="7">
        <v>2030</v>
      </c>
      <c r="C135" t="s">
        <v>461</v>
      </c>
      <c r="D135" s="3" t="s">
        <v>506</v>
      </c>
      <c r="E135" t="s">
        <v>831</v>
      </c>
    </row>
    <row r="136" spans="1:5" x14ac:dyDescent="0.2">
      <c r="A136" s="1" t="s">
        <v>309</v>
      </c>
      <c r="B136" s="7">
        <v>2078</v>
      </c>
      <c r="C136" t="s">
        <v>305</v>
      </c>
      <c r="D136" s="3" t="s">
        <v>660</v>
      </c>
      <c r="E136" t="s">
        <v>146</v>
      </c>
    </row>
    <row r="137" spans="1:5" x14ac:dyDescent="0.2">
      <c r="A137" s="1" t="s">
        <v>309</v>
      </c>
      <c r="B137" s="7">
        <v>5216</v>
      </c>
      <c r="C137" t="s">
        <v>201</v>
      </c>
      <c r="D137" s="3" t="s">
        <v>660</v>
      </c>
      <c r="E137" t="s">
        <v>200</v>
      </c>
    </row>
    <row r="138" spans="1:5" x14ac:dyDescent="0.2">
      <c r="A138" s="1" t="s">
        <v>309</v>
      </c>
      <c r="B138" s="7">
        <v>2012</v>
      </c>
      <c r="C138" t="s">
        <v>462</v>
      </c>
      <c r="D138" s="3" t="s">
        <v>660</v>
      </c>
      <c r="E138" t="s">
        <v>259</v>
      </c>
    </row>
    <row r="139" spans="1:5" x14ac:dyDescent="0.2">
      <c r="A139" s="1" t="s">
        <v>309</v>
      </c>
      <c r="B139" s="7">
        <v>2279</v>
      </c>
      <c r="C139" t="s">
        <v>463</v>
      </c>
      <c r="D139" s="3" t="s">
        <v>660</v>
      </c>
      <c r="E139" t="s">
        <v>164</v>
      </c>
    </row>
    <row r="140" spans="1:5" x14ac:dyDescent="0.2">
      <c r="A140" s="1" t="s">
        <v>309</v>
      </c>
      <c r="B140" s="7">
        <v>2491</v>
      </c>
      <c r="C140" t="s">
        <v>306</v>
      </c>
      <c r="D140" s="3" t="s">
        <v>660</v>
      </c>
      <c r="E140" t="s">
        <v>155</v>
      </c>
    </row>
    <row r="141" spans="1:5" x14ac:dyDescent="0.2">
      <c r="A141" s="1" t="s">
        <v>309</v>
      </c>
      <c r="B141" s="7">
        <v>2478</v>
      </c>
      <c r="C141" t="s">
        <v>464</v>
      </c>
      <c r="D141" s="3" t="s">
        <v>660</v>
      </c>
      <c r="E141" t="s">
        <v>178</v>
      </c>
    </row>
    <row r="142" spans="1:5" x14ac:dyDescent="0.2">
      <c r="A142" s="1" t="s">
        <v>309</v>
      </c>
      <c r="B142" s="7">
        <v>3060</v>
      </c>
      <c r="C142" t="s">
        <v>465</v>
      </c>
      <c r="D142" s="3" t="s">
        <v>663</v>
      </c>
      <c r="E142" t="s">
        <v>195</v>
      </c>
    </row>
    <row r="143" spans="1:5" x14ac:dyDescent="0.2">
      <c r="A143" s="1" t="s">
        <v>309</v>
      </c>
      <c r="B143" s="7">
        <v>3417</v>
      </c>
      <c r="C143" t="s">
        <v>466</v>
      </c>
      <c r="D143" s="3" t="s">
        <v>506</v>
      </c>
      <c r="E143" t="s">
        <v>175</v>
      </c>
    </row>
    <row r="144" spans="1:5" x14ac:dyDescent="0.2">
      <c r="A144" s="1" t="s">
        <v>309</v>
      </c>
      <c r="B144" s="7">
        <v>2286</v>
      </c>
      <c r="C144" t="s">
        <v>307</v>
      </c>
      <c r="D144" s="3" t="s">
        <v>660</v>
      </c>
      <c r="E144" t="s">
        <v>183</v>
      </c>
    </row>
    <row r="145" spans="1:5" x14ac:dyDescent="0.2">
      <c r="A145" s="1" t="s">
        <v>309</v>
      </c>
      <c r="B145" s="7">
        <v>2349</v>
      </c>
      <c r="C145" t="s">
        <v>308</v>
      </c>
      <c r="D145" s="3" t="s">
        <v>660</v>
      </c>
      <c r="E145" t="s">
        <v>184</v>
      </c>
    </row>
    <row r="146" spans="1:5" x14ac:dyDescent="0.2">
      <c r="A146" s="1" t="s">
        <v>309</v>
      </c>
      <c r="B146" s="7"/>
      <c r="C146"/>
      <c r="D146" s="3"/>
      <c r="E146"/>
    </row>
    <row r="147" spans="1:5" x14ac:dyDescent="0.2">
      <c r="A147" s="1" t="s">
        <v>309</v>
      </c>
      <c r="B147" s="7"/>
      <c r="C147"/>
      <c r="D147" s="3"/>
      <c r="E147"/>
    </row>
    <row r="148" spans="1:5" x14ac:dyDescent="0.2">
      <c r="A148" s="1" t="s">
        <v>309</v>
      </c>
      <c r="B148" s="7"/>
      <c r="C148"/>
      <c r="D148" s="3"/>
      <c r="E148"/>
    </row>
    <row r="149" spans="1:5" x14ac:dyDescent="0.2">
      <c r="A149" s="1" t="s">
        <v>309</v>
      </c>
      <c r="B149" s="7"/>
      <c r="C149"/>
      <c r="D149" s="3"/>
      <c r="E149"/>
    </row>
    <row r="150" spans="1:5" x14ac:dyDescent="0.2">
      <c r="A150" s="1" t="s">
        <v>309</v>
      </c>
      <c r="B150" s="7"/>
      <c r="C150"/>
      <c r="D150" s="3"/>
      <c r="E150"/>
    </row>
    <row r="151" spans="1:5" x14ac:dyDescent="0.2">
      <c r="A151" s="1" t="s">
        <v>309</v>
      </c>
      <c r="B151" s="7"/>
      <c r="C151"/>
      <c r="D151" s="3"/>
      <c r="E151"/>
    </row>
    <row r="152" spans="1:5" x14ac:dyDescent="0.2">
      <c r="A152" s="1" t="s">
        <v>309</v>
      </c>
      <c r="B152" s="7"/>
      <c r="C152" s="3"/>
      <c r="D152"/>
      <c r="E152"/>
    </row>
    <row r="153" spans="1:5" x14ac:dyDescent="0.2">
      <c r="A153" s="1" t="s">
        <v>309</v>
      </c>
      <c r="B153" s="7"/>
      <c r="C153" s="3"/>
      <c r="D153"/>
      <c r="E153"/>
    </row>
    <row r="154" spans="1:5" x14ac:dyDescent="0.2">
      <c r="A154" s="1" t="s">
        <v>309</v>
      </c>
      <c r="B154" s="7"/>
      <c r="C154"/>
      <c r="D154" s="3"/>
      <c r="E154"/>
    </row>
    <row r="155" spans="1:5" x14ac:dyDescent="0.2">
      <c r="A155" s="1" t="s">
        <v>309</v>
      </c>
      <c r="B155" s="7"/>
      <c r="C155"/>
      <c r="D155" s="3"/>
      <c r="E155"/>
    </row>
    <row r="156" spans="1:5" x14ac:dyDescent="0.2">
      <c r="A156" s="1" t="s">
        <v>309</v>
      </c>
      <c r="B156" s="7"/>
      <c r="C156"/>
      <c r="D156" s="3"/>
      <c r="E156"/>
    </row>
    <row r="157" spans="1:5" x14ac:dyDescent="0.2">
      <c r="A157" s="1" t="s">
        <v>309</v>
      </c>
      <c r="B157" s="7"/>
      <c r="C157"/>
      <c r="D157" s="3"/>
      <c r="E157"/>
    </row>
    <row r="158" spans="1:5" x14ac:dyDescent="0.2">
      <c r="A158" s="1" t="s">
        <v>309</v>
      </c>
      <c r="B158" s="7"/>
      <c r="C158"/>
      <c r="D158" s="3"/>
      <c r="E158"/>
    </row>
    <row r="159" spans="1:5" x14ac:dyDescent="0.2">
      <c r="A159" s="1" t="s">
        <v>309</v>
      </c>
      <c r="B159" s="7"/>
      <c r="C159"/>
      <c r="D159" s="3"/>
      <c r="E159"/>
    </row>
    <row r="160" spans="1:5" x14ac:dyDescent="0.2">
      <c r="A160" s="1" t="s">
        <v>309</v>
      </c>
      <c r="B160" s="7"/>
      <c r="C160"/>
      <c r="D160" s="3"/>
      <c r="E160"/>
    </row>
    <row r="161" spans="1:5" x14ac:dyDescent="0.2">
      <c r="A161" s="1" t="s">
        <v>309</v>
      </c>
      <c r="B161" s="7"/>
      <c r="C161"/>
      <c r="D161" s="3"/>
      <c r="E161"/>
    </row>
    <row r="162" spans="1:5" x14ac:dyDescent="0.2">
      <c r="A162" s="1" t="s">
        <v>309</v>
      </c>
      <c r="B162" s="7"/>
      <c r="C162"/>
      <c r="D162" s="3"/>
      <c r="E162"/>
    </row>
    <row r="163" spans="1:5" x14ac:dyDescent="0.2">
      <c r="A163" s="1" t="s">
        <v>309</v>
      </c>
      <c r="B163" s="7"/>
      <c r="C163"/>
      <c r="D163" s="3"/>
      <c r="E163"/>
    </row>
    <row r="164" spans="1:5" x14ac:dyDescent="0.2">
      <c r="A164" s="1" t="s">
        <v>309</v>
      </c>
      <c r="B164" s="7"/>
      <c r="C164" s="3"/>
      <c r="D164" s="3"/>
      <c r="E164"/>
    </row>
    <row r="165" spans="1:5" x14ac:dyDescent="0.2">
      <c r="A165" s="1" t="s">
        <v>309</v>
      </c>
      <c r="B165" s="7"/>
      <c r="C165" s="3"/>
      <c r="D165" s="3"/>
      <c r="E165"/>
    </row>
    <row r="166" spans="1:5" x14ac:dyDescent="0.2">
      <c r="A166" s="1" t="s">
        <v>309</v>
      </c>
      <c r="B166" s="7"/>
      <c r="C166"/>
      <c r="D166" s="3"/>
      <c r="E166"/>
    </row>
    <row r="167" spans="1:5" x14ac:dyDescent="0.2">
      <c r="A167" s="1" t="s">
        <v>309</v>
      </c>
      <c r="B167" s="7"/>
      <c r="C167"/>
      <c r="D167" s="3"/>
      <c r="E167"/>
    </row>
    <row r="168" spans="1:5" x14ac:dyDescent="0.2">
      <c r="A168" s="1" t="s">
        <v>309</v>
      </c>
      <c r="B168" s="7"/>
      <c r="C168"/>
      <c r="D168" s="3"/>
      <c r="E168"/>
    </row>
    <row r="169" spans="1:5" x14ac:dyDescent="0.2">
      <c r="A169" s="1" t="s">
        <v>309</v>
      </c>
      <c r="B169" s="7"/>
      <c r="C169"/>
      <c r="D169" s="3"/>
      <c r="E169"/>
    </row>
    <row r="170" spans="1:5" x14ac:dyDescent="0.2">
      <c r="A170" s="1" t="s">
        <v>309</v>
      </c>
      <c r="B170" s="7"/>
      <c r="C170"/>
      <c r="D170" s="3"/>
      <c r="E170"/>
    </row>
    <row r="171" spans="1:5" x14ac:dyDescent="0.2">
      <c r="A171" s="1" t="s">
        <v>309</v>
      </c>
      <c r="B171" s="7"/>
      <c r="C171"/>
      <c r="D171" s="3"/>
      <c r="E171"/>
    </row>
    <row r="172" spans="1:5" x14ac:dyDescent="0.2">
      <c r="A172" s="1" t="s">
        <v>309</v>
      </c>
      <c r="B172" s="7"/>
      <c r="C172"/>
      <c r="D172" s="3"/>
      <c r="E172"/>
    </row>
    <row r="173" spans="1:5" x14ac:dyDescent="0.2">
      <c r="A173" s="1" t="s">
        <v>309</v>
      </c>
      <c r="B173" s="7"/>
      <c r="C173"/>
      <c r="D173" s="3"/>
      <c r="E173"/>
    </row>
    <row r="174" spans="1:5" x14ac:dyDescent="0.2">
      <c r="A174" s="1" t="s">
        <v>309</v>
      </c>
      <c r="B174" s="7"/>
      <c r="C174"/>
      <c r="D174" s="3"/>
      <c r="E174"/>
    </row>
    <row r="175" spans="1:5" x14ac:dyDescent="0.2">
      <c r="A175" s="1" t="s">
        <v>309</v>
      </c>
      <c r="B175" s="7"/>
      <c r="C175"/>
      <c r="D175"/>
      <c r="E175"/>
    </row>
    <row r="176" spans="1:5" x14ac:dyDescent="0.2">
      <c r="A176" s="1" t="s">
        <v>309</v>
      </c>
      <c r="B176" s="7"/>
      <c r="C176"/>
      <c r="D176"/>
      <c r="E176"/>
    </row>
    <row r="177" spans="1:5" x14ac:dyDescent="0.2">
      <c r="A177" s="1" t="s">
        <v>309</v>
      </c>
      <c r="B177" s="7"/>
      <c r="C177"/>
      <c r="D177"/>
      <c r="E177"/>
    </row>
    <row r="178" spans="1:5" x14ac:dyDescent="0.2">
      <c r="A178" s="1" t="s">
        <v>309</v>
      </c>
      <c r="B178" s="7"/>
      <c r="C178"/>
      <c r="D178"/>
      <c r="E178"/>
    </row>
    <row r="179" spans="1:5" x14ac:dyDescent="0.2">
      <c r="A179" s="1" t="s">
        <v>309</v>
      </c>
      <c r="B179" s="7"/>
      <c r="C179"/>
      <c r="D179"/>
      <c r="E179"/>
    </row>
    <row r="180" spans="1:5" x14ac:dyDescent="0.2">
      <c r="A180" s="1" t="s">
        <v>309</v>
      </c>
      <c r="B180" s="7"/>
      <c r="C180"/>
      <c r="D180"/>
      <c r="E180"/>
    </row>
    <row r="181" spans="1:5" x14ac:dyDescent="0.2">
      <c r="A181" s="1" t="s">
        <v>309</v>
      </c>
      <c r="B181" s="7"/>
      <c r="C181"/>
      <c r="D181"/>
      <c r="E181"/>
    </row>
    <row r="182" spans="1:5" x14ac:dyDescent="0.2">
      <c r="A182" s="1" t="s">
        <v>309</v>
      </c>
      <c r="B182" s="7"/>
      <c r="C182"/>
      <c r="D182"/>
      <c r="E182"/>
    </row>
    <row r="183" spans="1:5" x14ac:dyDescent="0.2">
      <c r="A183" s="1" t="s">
        <v>309</v>
      </c>
      <c r="B183" s="7"/>
      <c r="C183"/>
      <c r="D183"/>
      <c r="E183"/>
    </row>
    <row r="184" spans="1:5" x14ac:dyDescent="0.2">
      <c r="A184" s="1" t="s">
        <v>309</v>
      </c>
      <c r="B184" s="102"/>
      <c r="C184"/>
      <c r="D184"/>
      <c r="E184"/>
    </row>
    <row r="185" spans="1:5" x14ac:dyDescent="0.2">
      <c r="A185" s="1" t="s">
        <v>309</v>
      </c>
      <c r="B185" s="7"/>
      <c r="C185"/>
      <c r="D185"/>
      <c r="E185"/>
    </row>
    <row r="186" spans="1:5" x14ac:dyDescent="0.2">
      <c r="A186" s="1" t="s">
        <v>309</v>
      </c>
      <c r="B186" s="7"/>
      <c r="C186"/>
      <c r="D186"/>
      <c r="E186"/>
    </row>
    <row r="187" spans="1:5" x14ac:dyDescent="0.2">
      <c r="A187" s="1" t="s">
        <v>309</v>
      </c>
      <c r="B187" s="7"/>
      <c r="C187"/>
      <c r="D187"/>
      <c r="E187"/>
    </row>
    <row r="188" spans="1:5" x14ac:dyDescent="0.2">
      <c r="A188" s="1" t="s">
        <v>309</v>
      </c>
      <c r="B188" s="7"/>
      <c r="C188"/>
      <c r="D188"/>
      <c r="E188"/>
    </row>
    <row r="189" spans="1:5" x14ac:dyDescent="0.2">
      <c r="A189" s="1" t="s">
        <v>309</v>
      </c>
      <c r="B189" s="7"/>
      <c r="C189"/>
      <c r="D189"/>
      <c r="E189"/>
    </row>
    <row r="190" spans="1:5" x14ac:dyDescent="0.2">
      <c r="A190" s="1" t="s">
        <v>309</v>
      </c>
      <c r="B190" s="7"/>
      <c r="C190"/>
      <c r="D190"/>
      <c r="E190"/>
    </row>
    <row r="191" spans="1:5" x14ac:dyDescent="0.2">
      <c r="A191" s="1" t="s">
        <v>309</v>
      </c>
      <c r="B191" s="7"/>
      <c r="C191"/>
      <c r="D191"/>
      <c r="E191"/>
    </row>
    <row r="192" spans="1:5" x14ac:dyDescent="0.2">
      <c r="A192" s="1" t="s">
        <v>309</v>
      </c>
      <c r="B192" s="7"/>
      <c r="C192"/>
      <c r="D192"/>
      <c r="E192"/>
    </row>
    <row r="193" spans="1:5" x14ac:dyDescent="0.2">
      <c r="A193" s="1" t="s">
        <v>309</v>
      </c>
      <c r="B193" s="7"/>
      <c r="C193"/>
      <c r="D193"/>
      <c r="E193"/>
    </row>
    <row r="194" spans="1:5" x14ac:dyDescent="0.2">
      <c r="A194" s="1" t="s">
        <v>309</v>
      </c>
      <c r="B194" s="7"/>
      <c r="C194"/>
      <c r="D194"/>
      <c r="E194"/>
    </row>
    <row r="195" spans="1:5" x14ac:dyDescent="0.2">
      <c r="A195" s="1" t="s">
        <v>309</v>
      </c>
      <c r="B195" s="7"/>
      <c r="C195"/>
      <c r="D195"/>
      <c r="E195"/>
    </row>
    <row r="196" spans="1:5" x14ac:dyDescent="0.2">
      <c r="A196" s="1" t="s">
        <v>309</v>
      </c>
      <c r="B196" s="7"/>
      <c r="C196"/>
      <c r="D196"/>
      <c r="E196"/>
    </row>
    <row r="197" spans="1:5" x14ac:dyDescent="0.2">
      <c r="A197" s="1" t="s">
        <v>309</v>
      </c>
      <c r="B197" s="7"/>
      <c r="C197"/>
      <c r="D197"/>
      <c r="E197"/>
    </row>
    <row r="198" spans="1:5" x14ac:dyDescent="0.2">
      <c r="A198" s="1" t="s">
        <v>309</v>
      </c>
      <c r="B198" s="7"/>
      <c r="C198"/>
      <c r="D198"/>
      <c r="E198"/>
    </row>
    <row r="199" spans="1:5" x14ac:dyDescent="0.2">
      <c r="A199" s="1" t="s">
        <v>309</v>
      </c>
      <c r="B199" s="7"/>
      <c r="C199"/>
      <c r="D199"/>
      <c r="E199"/>
    </row>
    <row r="200" spans="1:5" x14ac:dyDescent="0.2">
      <c r="A200" s="1" t="s">
        <v>309</v>
      </c>
      <c r="B200" s="7"/>
      <c r="C200"/>
      <c r="D200"/>
      <c r="E200"/>
    </row>
    <row r="201" spans="1:5" x14ac:dyDescent="0.2">
      <c r="A201" s="1" t="s">
        <v>309</v>
      </c>
      <c r="B201" s="7"/>
      <c r="C201"/>
      <c r="D201"/>
      <c r="E201"/>
    </row>
    <row r="202" spans="1:5" x14ac:dyDescent="0.2">
      <c r="A202" s="1" t="s">
        <v>309</v>
      </c>
      <c r="B202" s="7"/>
      <c r="C202"/>
      <c r="D202"/>
      <c r="E202"/>
    </row>
    <row r="203" spans="1:5" x14ac:dyDescent="0.2">
      <c r="A203" s="1" t="s">
        <v>309</v>
      </c>
      <c r="B203" s="7"/>
      <c r="C203"/>
      <c r="D203"/>
      <c r="E203"/>
    </row>
    <row r="204" spans="1:5" x14ac:dyDescent="0.2">
      <c r="A204" s="1" t="s">
        <v>309</v>
      </c>
      <c r="B204" s="7"/>
      <c r="C204"/>
      <c r="D204"/>
      <c r="E204"/>
    </row>
    <row r="205" spans="1:5" x14ac:dyDescent="0.2">
      <c r="A205" s="1" t="s">
        <v>309</v>
      </c>
      <c r="B205" s="7"/>
      <c r="C205"/>
      <c r="D205"/>
      <c r="E205"/>
    </row>
    <row r="206" spans="1:5" x14ac:dyDescent="0.2">
      <c r="A206" s="1" t="s">
        <v>309</v>
      </c>
      <c r="B206" s="7"/>
      <c r="C206"/>
      <c r="D206"/>
      <c r="E206"/>
    </row>
    <row r="207" spans="1:5" x14ac:dyDescent="0.2">
      <c r="A207" s="1" t="s">
        <v>309</v>
      </c>
      <c r="B207" s="7"/>
      <c r="C207"/>
      <c r="D207"/>
      <c r="E207"/>
    </row>
    <row r="208" spans="1:5" x14ac:dyDescent="0.2">
      <c r="A208" s="1" t="s">
        <v>309</v>
      </c>
      <c r="B208" s="7"/>
      <c r="C208"/>
      <c r="D208"/>
      <c r="E208"/>
    </row>
    <row r="209" spans="1:5" x14ac:dyDescent="0.2">
      <c r="A209" s="1" t="s">
        <v>309</v>
      </c>
      <c r="B209" s="7"/>
      <c r="C209"/>
      <c r="D209"/>
      <c r="E209"/>
    </row>
    <row r="210" spans="1:5" x14ac:dyDescent="0.2">
      <c r="A210" s="1" t="s">
        <v>309</v>
      </c>
      <c r="B210" s="7"/>
      <c r="C210"/>
      <c r="D210"/>
      <c r="E210"/>
    </row>
    <row r="211" spans="1:5" x14ac:dyDescent="0.2">
      <c r="A211" s="1" t="s">
        <v>309</v>
      </c>
      <c r="B211" s="7"/>
      <c r="C211"/>
      <c r="D211"/>
      <c r="E211"/>
    </row>
    <row r="212" spans="1:5" x14ac:dyDescent="0.2">
      <c r="A212" s="1" t="s">
        <v>309</v>
      </c>
      <c r="B212" s="7"/>
      <c r="C212"/>
      <c r="D212"/>
      <c r="E212"/>
    </row>
    <row r="213" spans="1:5" x14ac:dyDescent="0.2">
      <c r="A213" s="1" t="s">
        <v>309</v>
      </c>
      <c r="B213" s="7"/>
      <c r="C213"/>
      <c r="D213"/>
      <c r="E213"/>
    </row>
    <row r="214" spans="1:5" x14ac:dyDescent="0.2">
      <c r="A214" s="1" t="s">
        <v>309</v>
      </c>
      <c r="B214" s="7"/>
      <c r="C214"/>
      <c r="D214"/>
      <c r="E214"/>
    </row>
    <row r="215" spans="1:5" x14ac:dyDescent="0.2">
      <c r="A215" s="1" t="s">
        <v>309</v>
      </c>
      <c r="B215" s="7"/>
      <c r="C215"/>
      <c r="D215"/>
      <c r="E215"/>
    </row>
    <row r="216" spans="1:5" x14ac:dyDescent="0.2">
      <c r="A216" s="1" t="s">
        <v>309</v>
      </c>
      <c r="B216" s="7"/>
      <c r="C216"/>
      <c r="D216"/>
      <c r="E216"/>
    </row>
    <row r="217" spans="1:5" x14ac:dyDescent="0.2">
      <c r="A217" s="1" t="s">
        <v>309</v>
      </c>
      <c r="B217" s="7"/>
      <c r="C217"/>
      <c r="D217"/>
      <c r="E217"/>
    </row>
    <row r="218" spans="1:5" x14ac:dyDescent="0.2">
      <c r="A218" s="1" t="s">
        <v>309</v>
      </c>
      <c r="B218" s="7"/>
      <c r="C218"/>
      <c r="D218"/>
      <c r="E218"/>
    </row>
    <row r="219" spans="1:5" x14ac:dyDescent="0.2">
      <c r="A219" s="1" t="s">
        <v>309</v>
      </c>
      <c r="B219" s="7"/>
      <c r="C219"/>
      <c r="D219"/>
      <c r="E219"/>
    </row>
    <row r="220" spans="1:5" x14ac:dyDescent="0.2">
      <c r="A220" s="1" t="s">
        <v>309</v>
      </c>
      <c r="B220" s="7"/>
      <c r="C220"/>
      <c r="D220"/>
      <c r="E220"/>
    </row>
    <row r="221" spans="1:5" x14ac:dyDescent="0.2">
      <c r="A221" s="1" t="s">
        <v>309</v>
      </c>
      <c r="B221" s="7"/>
      <c r="C221"/>
      <c r="D221"/>
      <c r="E221"/>
    </row>
    <row r="222" spans="1:5" x14ac:dyDescent="0.2">
      <c r="A222" s="1" t="s">
        <v>309</v>
      </c>
      <c r="B222" s="7"/>
      <c r="C222"/>
      <c r="D222"/>
      <c r="E222"/>
    </row>
    <row r="223" spans="1:5" x14ac:dyDescent="0.2">
      <c r="A223" s="1" t="s">
        <v>309</v>
      </c>
      <c r="B223" s="7"/>
      <c r="C223"/>
      <c r="D223"/>
      <c r="E223"/>
    </row>
    <row r="224" spans="1:5" x14ac:dyDescent="0.2">
      <c r="A224" s="1" t="s">
        <v>309</v>
      </c>
      <c r="B224" s="7"/>
      <c r="C224"/>
      <c r="D224"/>
      <c r="E224"/>
    </row>
    <row r="225" spans="1:5" x14ac:dyDescent="0.2">
      <c r="A225" s="1" t="s">
        <v>309</v>
      </c>
      <c r="B225" s="7"/>
      <c r="C225"/>
      <c r="D225"/>
      <c r="E225"/>
    </row>
    <row r="226" spans="1:5" x14ac:dyDescent="0.2">
      <c r="A226" s="1" t="s">
        <v>309</v>
      </c>
      <c r="B226" s="7"/>
      <c r="C226"/>
      <c r="D226"/>
      <c r="E226"/>
    </row>
    <row r="227" spans="1:5" x14ac:dyDescent="0.2">
      <c r="A227" s="1" t="s">
        <v>309</v>
      </c>
      <c r="B227" s="7"/>
      <c r="C227"/>
      <c r="D227"/>
      <c r="E227"/>
    </row>
    <row r="228" spans="1:5" x14ac:dyDescent="0.2">
      <c r="A228" s="1" t="s">
        <v>309</v>
      </c>
      <c r="B228" s="7"/>
      <c r="C228"/>
      <c r="D228"/>
      <c r="E228"/>
    </row>
    <row r="229" spans="1:5" x14ac:dyDescent="0.2">
      <c r="A229" s="1" t="s">
        <v>309</v>
      </c>
      <c r="B229" s="7"/>
      <c r="C229"/>
      <c r="D229"/>
      <c r="E229"/>
    </row>
    <row r="230" spans="1:5" x14ac:dyDescent="0.2">
      <c r="A230" s="1" t="s">
        <v>309</v>
      </c>
      <c r="B230" s="7"/>
      <c r="C230"/>
      <c r="D230"/>
      <c r="E230"/>
    </row>
    <row r="231" spans="1:5" x14ac:dyDescent="0.2">
      <c r="A231" s="1" t="s">
        <v>309</v>
      </c>
      <c r="B231" s="7"/>
      <c r="C231"/>
      <c r="D231"/>
      <c r="E231"/>
    </row>
    <row r="232" spans="1:5" x14ac:dyDescent="0.2">
      <c r="A232" s="1" t="s">
        <v>309</v>
      </c>
      <c r="B232" s="7"/>
      <c r="C232"/>
      <c r="D232"/>
      <c r="E232"/>
    </row>
    <row r="233" spans="1:5" x14ac:dyDescent="0.2">
      <c r="A233" s="1" t="s">
        <v>309</v>
      </c>
      <c r="B233" s="7"/>
      <c r="C233"/>
      <c r="D233"/>
      <c r="E233"/>
    </row>
    <row r="234" spans="1:5" x14ac:dyDescent="0.2">
      <c r="A234" s="1" t="s">
        <v>309</v>
      </c>
      <c r="B234" s="7"/>
      <c r="C234"/>
      <c r="D234"/>
      <c r="E234"/>
    </row>
    <row r="235" spans="1:5" x14ac:dyDescent="0.2">
      <c r="A235" s="1" t="s">
        <v>309</v>
      </c>
      <c r="B235" s="7"/>
      <c r="C235"/>
      <c r="D235"/>
      <c r="E235"/>
    </row>
    <row r="236" spans="1:5" x14ac:dyDescent="0.2">
      <c r="A236" s="1" t="s">
        <v>309</v>
      </c>
      <c r="B236" s="7"/>
      <c r="C236"/>
      <c r="D236"/>
      <c r="E236"/>
    </row>
    <row r="237" spans="1:5" x14ac:dyDescent="0.2">
      <c r="A237" s="1" t="s">
        <v>309</v>
      </c>
      <c r="B237" s="7"/>
      <c r="C237"/>
      <c r="D237"/>
      <c r="E237"/>
    </row>
    <row r="238" spans="1:5" x14ac:dyDescent="0.2">
      <c r="A238" s="1" t="s">
        <v>309</v>
      </c>
      <c r="B238" s="7"/>
      <c r="C238"/>
      <c r="D238"/>
      <c r="E238"/>
    </row>
    <row r="239" spans="1:5" x14ac:dyDescent="0.2">
      <c r="A239" s="1" t="s">
        <v>309</v>
      </c>
      <c r="B239" s="7"/>
      <c r="C239"/>
      <c r="D239"/>
      <c r="E239"/>
    </row>
    <row r="240" spans="1:5" x14ac:dyDescent="0.2">
      <c r="A240" s="1" t="s">
        <v>309</v>
      </c>
      <c r="B240" s="7"/>
      <c r="C240"/>
      <c r="D240"/>
      <c r="E240"/>
    </row>
    <row r="241" spans="1:5" x14ac:dyDescent="0.2">
      <c r="A241" s="1" t="s">
        <v>309</v>
      </c>
      <c r="B241" s="7"/>
      <c r="C241"/>
      <c r="D241"/>
      <c r="E241"/>
    </row>
    <row r="242" spans="1:5" x14ac:dyDescent="0.2">
      <c r="A242" s="1" t="s">
        <v>309</v>
      </c>
      <c r="B242" s="7"/>
      <c r="C242"/>
      <c r="D242"/>
      <c r="E242"/>
    </row>
    <row r="243" spans="1:5" x14ac:dyDescent="0.2">
      <c r="A243" s="1" t="s">
        <v>309</v>
      </c>
      <c r="B243" s="7"/>
      <c r="C243"/>
      <c r="D243"/>
      <c r="E243"/>
    </row>
    <row r="244" spans="1:5" x14ac:dyDescent="0.2">
      <c r="A244" s="1" t="s">
        <v>309</v>
      </c>
      <c r="B244" s="7"/>
      <c r="C244"/>
      <c r="D244"/>
      <c r="E244"/>
    </row>
    <row r="245" spans="1:5" x14ac:dyDescent="0.2">
      <c r="A245" s="1" t="s">
        <v>309</v>
      </c>
      <c r="B245" s="7"/>
      <c r="C245"/>
      <c r="D245"/>
      <c r="E245"/>
    </row>
    <row r="246" spans="1:5" x14ac:dyDescent="0.2">
      <c r="A246" s="1" t="s">
        <v>309</v>
      </c>
      <c r="B246" s="7"/>
      <c r="C246"/>
      <c r="D246"/>
      <c r="E246"/>
    </row>
    <row r="247" spans="1:5" x14ac:dyDescent="0.2">
      <c r="A247" s="1" t="s">
        <v>309</v>
      </c>
      <c r="B247" s="7"/>
      <c r="C247"/>
      <c r="D247"/>
      <c r="E247"/>
    </row>
    <row r="248" spans="1:5" x14ac:dyDescent="0.2">
      <c r="A248" s="1" t="s">
        <v>309</v>
      </c>
      <c r="B248" s="7"/>
      <c r="C248"/>
      <c r="D248"/>
      <c r="E248"/>
    </row>
    <row r="249" spans="1:5" x14ac:dyDescent="0.2">
      <c r="A249" s="1" t="s">
        <v>309</v>
      </c>
      <c r="B249" s="7"/>
      <c r="C249"/>
      <c r="D249"/>
      <c r="E249"/>
    </row>
    <row r="250" spans="1:5" x14ac:dyDescent="0.2">
      <c r="A250" s="1" t="s">
        <v>309</v>
      </c>
      <c r="B250" s="7"/>
      <c r="C250"/>
      <c r="D250"/>
      <c r="E250"/>
    </row>
    <row r="251" spans="1:5" x14ac:dyDescent="0.2">
      <c r="A251" s="1" t="s">
        <v>309</v>
      </c>
      <c r="B251" s="7"/>
      <c r="C251"/>
      <c r="D251"/>
      <c r="E251"/>
    </row>
    <row r="252" spans="1:5" x14ac:dyDescent="0.2">
      <c r="A252" s="1" t="s">
        <v>309</v>
      </c>
      <c r="B252" s="7"/>
      <c r="C252"/>
      <c r="D252"/>
      <c r="E252"/>
    </row>
    <row r="253" spans="1:5" x14ac:dyDescent="0.2">
      <c r="A253" s="1" t="s">
        <v>309</v>
      </c>
      <c r="B253" s="7"/>
      <c r="C253"/>
      <c r="D253"/>
      <c r="E253"/>
    </row>
    <row r="254" spans="1:5" x14ac:dyDescent="0.2">
      <c r="A254" s="1" t="s">
        <v>309</v>
      </c>
      <c r="B254" s="7"/>
      <c r="C254"/>
      <c r="D254"/>
      <c r="E254"/>
    </row>
    <row r="255" spans="1:5" x14ac:dyDescent="0.2">
      <c r="A255" s="1" t="s">
        <v>309</v>
      </c>
      <c r="B255" s="7"/>
      <c r="C255"/>
      <c r="D255"/>
      <c r="E255"/>
    </row>
    <row r="256" spans="1:5" x14ac:dyDescent="0.2">
      <c r="A256" s="1" t="s">
        <v>309</v>
      </c>
      <c r="B256" s="7"/>
      <c r="C256"/>
      <c r="D256"/>
      <c r="E256"/>
    </row>
    <row r="257" spans="1:5" x14ac:dyDescent="0.2">
      <c r="A257" s="1" t="s">
        <v>309</v>
      </c>
      <c r="B257" s="7"/>
      <c r="C257"/>
      <c r="D257"/>
      <c r="E257"/>
    </row>
    <row r="258" spans="1:5" x14ac:dyDescent="0.2">
      <c r="A258" s="1" t="s">
        <v>309</v>
      </c>
      <c r="B258" s="7"/>
      <c r="C258"/>
      <c r="D258"/>
      <c r="E258"/>
    </row>
    <row r="259" spans="1:5" x14ac:dyDescent="0.2">
      <c r="A259" s="1" t="s">
        <v>309</v>
      </c>
      <c r="B259" s="7"/>
      <c r="C259"/>
      <c r="D259"/>
      <c r="E259"/>
    </row>
    <row r="260" spans="1:5" x14ac:dyDescent="0.2">
      <c r="A260" s="1" t="s">
        <v>309</v>
      </c>
      <c r="B260" s="7"/>
      <c r="C260"/>
      <c r="D260"/>
      <c r="E260"/>
    </row>
    <row r="261" spans="1:5" x14ac:dyDescent="0.2">
      <c r="A261" s="1" t="s">
        <v>309</v>
      </c>
      <c r="B261" s="7"/>
      <c r="C261"/>
      <c r="D261"/>
      <c r="E261"/>
    </row>
    <row r="262" spans="1:5" x14ac:dyDescent="0.2">
      <c r="A262" s="1" t="s">
        <v>309</v>
      </c>
      <c r="B262" s="7"/>
      <c r="C262"/>
      <c r="D262"/>
      <c r="E262"/>
    </row>
    <row r="263" spans="1:5" x14ac:dyDescent="0.2">
      <c r="A263" s="1" t="s">
        <v>309</v>
      </c>
      <c r="B263" s="7"/>
      <c r="C263"/>
      <c r="D263"/>
      <c r="E263"/>
    </row>
    <row r="264" spans="1:5" x14ac:dyDescent="0.2">
      <c r="A264" s="1" t="s">
        <v>309</v>
      </c>
      <c r="B264" s="7"/>
      <c r="C264"/>
      <c r="D264"/>
      <c r="E264"/>
    </row>
    <row r="265" spans="1:5" x14ac:dyDescent="0.2">
      <c r="A265" s="1" t="s">
        <v>309</v>
      </c>
      <c r="B265" s="7"/>
      <c r="C265"/>
      <c r="D265"/>
      <c r="E265"/>
    </row>
    <row r="266" spans="1:5" x14ac:dyDescent="0.2">
      <c r="A266" s="1" t="s">
        <v>309</v>
      </c>
      <c r="B266" s="7"/>
      <c r="C266"/>
      <c r="D266"/>
      <c r="E266"/>
    </row>
    <row r="267" spans="1:5" x14ac:dyDescent="0.2">
      <c r="A267" s="1" t="s">
        <v>309</v>
      </c>
      <c r="B267" s="7"/>
      <c r="C267"/>
      <c r="D267"/>
      <c r="E267"/>
    </row>
    <row r="268" spans="1:5" x14ac:dyDescent="0.2">
      <c r="A268" s="1" t="s">
        <v>309</v>
      </c>
      <c r="B268" s="7"/>
      <c r="C268"/>
      <c r="D268"/>
      <c r="E268"/>
    </row>
    <row r="269" spans="1:5" x14ac:dyDescent="0.2">
      <c r="A269" s="1" t="s">
        <v>309</v>
      </c>
      <c r="B269" s="7"/>
      <c r="C269"/>
      <c r="D269"/>
      <c r="E269"/>
    </row>
    <row r="270" spans="1:5" x14ac:dyDescent="0.2">
      <c r="A270" s="1" t="s">
        <v>309</v>
      </c>
      <c r="B270" s="7"/>
      <c r="C270"/>
      <c r="D270"/>
      <c r="E270"/>
    </row>
    <row r="271" spans="1:5" x14ac:dyDescent="0.2">
      <c r="A271" s="1" t="s">
        <v>309</v>
      </c>
      <c r="B271" s="7"/>
      <c r="C271"/>
      <c r="D271"/>
      <c r="E271"/>
    </row>
    <row r="272" spans="1:5" x14ac:dyDescent="0.2">
      <c r="A272" s="1" t="s">
        <v>309</v>
      </c>
      <c r="B272" s="7"/>
      <c r="C272"/>
      <c r="D272"/>
      <c r="E272"/>
    </row>
    <row r="273" spans="1:5" x14ac:dyDescent="0.2">
      <c r="A273" s="1" t="s">
        <v>309</v>
      </c>
      <c r="B273" s="7"/>
      <c r="C273"/>
      <c r="D273"/>
      <c r="E273"/>
    </row>
    <row r="274" spans="1:5" x14ac:dyDescent="0.2">
      <c r="B274" s="7"/>
      <c r="C274"/>
      <c r="D274"/>
      <c r="E274"/>
    </row>
    <row r="275" spans="1:5" x14ac:dyDescent="0.2">
      <c r="B275" s="7"/>
      <c r="C275"/>
      <c r="D275"/>
      <c r="E275"/>
    </row>
    <row r="276" spans="1:5" x14ac:dyDescent="0.2">
      <c r="B276" s="7"/>
      <c r="C276"/>
      <c r="D276"/>
      <c r="E276"/>
    </row>
    <row r="277" spans="1:5" x14ac:dyDescent="0.2">
      <c r="B277" s="7"/>
      <c r="C277"/>
      <c r="D277"/>
      <c r="E277"/>
    </row>
    <row r="278" spans="1:5" x14ac:dyDescent="0.2">
      <c r="B278" s="7"/>
      <c r="C278"/>
      <c r="D278"/>
      <c r="E278"/>
    </row>
    <row r="279" spans="1:5" x14ac:dyDescent="0.2">
      <c r="B279" s="7"/>
      <c r="C279"/>
      <c r="D279"/>
      <c r="E279"/>
    </row>
    <row r="280" spans="1:5" x14ac:dyDescent="0.2">
      <c r="B280" s="7"/>
      <c r="C280"/>
      <c r="D280"/>
      <c r="E280"/>
    </row>
    <row r="281" spans="1:5" x14ac:dyDescent="0.2">
      <c r="B281" s="7"/>
      <c r="C281"/>
      <c r="D281"/>
      <c r="E281"/>
    </row>
    <row r="282" spans="1:5" x14ac:dyDescent="0.2">
      <c r="B282" s="7"/>
      <c r="C282"/>
      <c r="D282"/>
      <c r="E282"/>
    </row>
    <row r="283" spans="1:5" x14ac:dyDescent="0.2">
      <c r="B283" s="7"/>
      <c r="C283"/>
      <c r="D283"/>
      <c r="E283"/>
    </row>
    <row r="284" spans="1:5" x14ac:dyDescent="0.2">
      <c r="B284" s="7"/>
      <c r="C284"/>
      <c r="D284"/>
      <c r="E284"/>
    </row>
    <row r="285" spans="1:5" x14ac:dyDescent="0.2">
      <c r="B285" s="7"/>
      <c r="C285"/>
      <c r="D285"/>
      <c r="E285"/>
    </row>
    <row r="286" spans="1:5" x14ac:dyDescent="0.2">
      <c r="B286" s="7"/>
      <c r="C286"/>
      <c r="D286"/>
      <c r="E286"/>
    </row>
    <row r="287" spans="1:5" x14ac:dyDescent="0.2">
      <c r="B287" s="7"/>
      <c r="C287"/>
      <c r="D287"/>
      <c r="E287"/>
    </row>
    <row r="288" spans="1:5" x14ac:dyDescent="0.2">
      <c r="B288" s="7"/>
      <c r="C288"/>
      <c r="D288"/>
      <c r="E288"/>
    </row>
    <row r="289" spans="2:5" x14ac:dyDescent="0.2">
      <c r="B289" s="7"/>
      <c r="C289"/>
      <c r="D289"/>
      <c r="E289"/>
    </row>
    <row r="290" spans="2:5" x14ac:dyDescent="0.2">
      <c r="B290" s="7"/>
      <c r="C290"/>
      <c r="D290"/>
      <c r="E290"/>
    </row>
    <row r="291" spans="2:5" x14ac:dyDescent="0.2">
      <c r="B291" s="7"/>
      <c r="C291"/>
      <c r="D291"/>
      <c r="E291"/>
    </row>
    <row r="292" spans="2:5" x14ac:dyDescent="0.2">
      <c r="B292" s="7"/>
      <c r="C292"/>
      <c r="D292"/>
      <c r="E292"/>
    </row>
    <row r="293" spans="2:5" x14ac:dyDescent="0.2">
      <c r="B293" s="7"/>
      <c r="C293"/>
      <c r="D293"/>
      <c r="E293"/>
    </row>
    <row r="294" spans="2:5" x14ac:dyDescent="0.2">
      <c r="B294" s="7"/>
      <c r="C294"/>
      <c r="D294"/>
      <c r="E294"/>
    </row>
    <row r="295" spans="2:5" x14ac:dyDescent="0.2">
      <c r="B295" s="7"/>
      <c r="C295"/>
      <c r="D295"/>
      <c r="E295"/>
    </row>
    <row r="296" spans="2:5" x14ac:dyDescent="0.2">
      <c r="B296" s="7"/>
      <c r="C296"/>
      <c r="D296"/>
      <c r="E296"/>
    </row>
    <row r="297" spans="2:5" x14ac:dyDescent="0.2">
      <c r="B297" s="7"/>
      <c r="C297"/>
      <c r="D297"/>
      <c r="E297"/>
    </row>
    <row r="298" spans="2:5" x14ac:dyDescent="0.2">
      <c r="B298" s="7"/>
      <c r="C298"/>
      <c r="D298"/>
      <c r="E298"/>
    </row>
    <row r="299" spans="2:5" x14ac:dyDescent="0.2">
      <c r="B299" s="7"/>
      <c r="C299"/>
      <c r="D299"/>
      <c r="E299"/>
    </row>
    <row r="300" spans="2:5" x14ac:dyDescent="0.2">
      <c r="B300" s="7"/>
      <c r="C300"/>
      <c r="D300"/>
      <c r="E300"/>
    </row>
    <row r="301" spans="2:5" x14ac:dyDescent="0.2">
      <c r="B301" s="7"/>
      <c r="C301"/>
      <c r="D301"/>
      <c r="E301"/>
    </row>
    <row r="302" spans="2:5" x14ac:dyDescent="0.2">
      <c r="B302" s="7"/>
      <c r="C302"/>
      <c r="D302"/>
      <c r="E302"/>
    </row>
    <row r="303" spans="2:5" x14ac:dyDescent="0.2">
      <c r="B303" s="7"/>
      <c r="C303"/>
      <c r="D303"/>
      <c r="E303"/>
    </row>
    <row r="304" spans="2:5" x14ac:dyDescent="0.2">
      <c r="B304" s="7"/>
      <c r="C304"/>
      <c r="D304"/>
      <c r="E304"/>
    </row>
    <row r="305" spans="2:5" x14ac:dyDescent="0.2">
      <c r="B305" s="7"/>
      <c r="C305"/>
      <c r="D305"/>
      <c r="E305"/>
    </row>
    <row r="306" spans="2:5" x14ac:dyDescent="0.2">
      <c r="B306" s="7"/>
      <c r="C306"/>
      <c r="D306"/>
      <c r="E306"/>
    </row>
    <row r="307" spans="2:5" x14ac:dyDescent="0.2">
      <c r="B307" s="7"/>
      <c r="C307"/>
      <c r="D307"/>
      <c r="E307"/>
    </row>
    <row r="308" spans="2:5" x14ac:dyDescent="0.2">
      <c r="B308" s="7"/>
      <c r="C308"/>
      <c r="D308"/>
      <c r="E308"/>
    </row>
    <row r="309" spans="2:5" x14ac:dyDescent="0.2">
      <c r="B309" s="7"/>
      <c r="C309"/>
      <c r="D309"/>
      <c r="E309"/>
    </row>
    <row r="310" spans="2:5" x14ac:dyDescent="0.2">
      <c r="B310" s="7"/>
      <c r="C310"/>
      <c r="D310"/>
      <c r="E310"/>
    </row>
    <row r="311" spans="2:5" x14ac:dyDescent="0.2">
      <c r="B311" s="7"/>
      <c r="C311"/>
      <c r="D311"/>
      <c r="E311"/>
    </row>
    <row r="312" spans="2:5" x14ac:dyDescent="0.2">
      <c r="B312" s="7"/>
      <c r="C312"/>
      <c r="D312"/>
      <c r="E312"/>
    </row>
    <row r="313" spans="2:5" x14ac:dyDescent="0.2">
      <c r="B313" s="7"/>
      <c r="C313"/>
      <c r="D313"/>
      <c r="E313"/>
    </row>
    <row r="314" spans="2:5" x14ac:dyDescent="0.2">
      <c r="B314" s="7"/>
      <c r="C314"/>
      <c r="D314"/>
      <c r="E314"/>
    </row>
    <row r="315" spans="2:5" x14ac:dyDescent="0.2">
      <c r="B315" s="7"/>
      <c r="C315"/>
      <c r="D315"/>
      <c r="E315"/>
    </row>
    <row r="316" spans="2:5" x14ac:dyDescent="0.2">
      <c r="B316" s="7"/>
      <c r="C316"/>
      <c r="D316"/>
      <c r="E316"/>
    </row>
    <row r="317" spans="2:5" x14ac:dyDescent="0.2">
      <c r="B317" s="7"/>
      <c r="C317"/>
      <c r="D317"/>
      <c r="E317"/>
    </row>
    <row r="318" spans="2:5" x14ac:dyDescent="0.2">
      <c r="B318" s="7"/>
      <c r="C318"/>
      <c r="D318"/>
      <c r="E318"/>
    </row>
    <row r="319" spans="2:5" x14ac:dyDescent="0.2">
      <c r="B319" s="7"/>
      <c r="C319"/>
      <c r="D319"/>
      <c r="E319"/>
    </row>
    <row r="320" spans="2:5" x14ac:dyDescent="0.2">
      <c r="B320" s="7"/>
      <c r="C320"/>
      <c r="D320"/>
      <c r="E320"/>
    </row>
    <row r="321" spans="2:5" x14ac:dyDescent="0.2">
      <c r="B321" s="7"/>
      <c r="C321"/>
      <c r="D321"/>
      <c r="E321"/>
    </row>
    <row r="322" spans="2:5" x14ac:dyDescent="0.2">
      <c r="B322" s="7"/>
      <c r="C322"/>
      <c r="D322"/>
      <c r="E322"/>
    </row>
    <row r="323" spans="2:5" x14ac:dyDescent="0.2">
      <c r="B323" s="7"/>
      <c r="C323"/>
      <c r="D323"/>
      <c r="E323"/>
    </row>
    <row r="324" spans="2:5" x14ac:dyDescent="0.2">
      <c r="B324" s="7"/>
      <c r="C324"/>
      <c r="D324"/>
      <c r="E324"/>
    </row>
    <row r="325" spans="2:5" x14ac:dyDescent="0.2">
      <c r="B325" s="7"/>
      <c r="C325"/>
      <c r="D325"/>
      <c r="E325"/>
    </row>
    <row r="326" spans="2:5" x14ac:dyDescent="0.2">
      <c r="B326" s="7"/>
      <c r="C326"/>
      <c r="D326"/>
      <c r="E326"/>
    </row>
    <row r="327" spans="2:5" x14ac:dyDescent="0.2">
      <c r="B327" s="7"/>
      <c r="C327"/>
      <c r="D327"/>
      <c r="E327"/>
    </row>
    <row r="328" spans="2:5" x14ac:dyDescent="0.2">
      <c r="B328" s="7"/>
      <c r="C328"/>
      <c r="D328"/>
      <c r="E328"/>
    </row>
    <row r="329" spans="2:5" x14ac:dyDescent="0.2">
      <c r="B329" s="7"/>
      <c r="C329"/>
      <c r="D329"/>
      <c r="E329"/>
    </row>
    <row r="330" spans="2:5" x14ac:dyDescent="0.2">
      <c r="B330" s="7"/>
      <c r="C330"/>
      <c r="D330"/>
      <c r="E330"/>
    </row>
    <row r="331" spans="2:5" x14ac:dyDescent="0.2">
      <c r="B331" s="7"/>
      <c r="C331"/>
      <c r="D331"/>
      <c r="E331"/>
    </row>
    <row r="332" spans="2:5" x14ac:dyDescent="0.2">
      <c r="B332" s="7"/>
      <c r="C332"/>
      <c r="D332"/>
      <c r="E332"/>
    </row>
    <row r="333" spans="2:5" x14ac:dyDescent="0.2">
      <c r="B333" s="7"/>
      <c r="C333"/>
      <c r="D333"/>
      <c r="E333"/>
    </row>
    <row r="334" spans="2:5" x14ac:dyDescent="0.2">
      <c r="B334" s="7"/>
      <c r="C334"/>
      <c r="D334"/>
      <c r="E334"/>
    </row>
    <row r="335" spans="2:5" x14ac:dyDescent="0.2">
      <c r="B335" s="7"/>
      <c r="C335"/>
      <c r="D335"/>
      <c r="E335"/>
    </row>
    <row r="336" spans="2:5" x14ac:dyDescent="0.2">
      <c r="B336" s="7"/>
      <c r="C336"/>
      <c r="D336"/>
      <c r="E336"/>
    </row>
    <row r="337" spans="2:5" x14ac:dyDescent="0.2">
      <c r="B337" s="7"/>
      <c r="C337"/>
      <c r="D337"/>
      <c r="E337"/>
    </row>
    <row r="338" spans="2:5" x14ac:dyDescent="0.2">
      <c r="B338" s="7"/>
      <c r="C338"/>
      <c r="D338"/>
      <c r="E338"/>
    </row>
    <row r="339" spans="2:5" x14ac:dyDescent="0.2">
      <c r="B339" s="7"/>
      <c r="C339"/>
      <c r="D339"/>
      <c r="E339"/>
    </row>
    <row r="340" spans="2:5" x14ac:dyDescent="0.2">
      <c r="B340" s="7"/>
      <c r="C340"/>
      <c r="D340"/>
      <c r="E340"/>
    </row>
    <row r="341" spans="2:5" x14ac:dyDescent="0.2">
      <c r="B341" s="7"/>
      <c r="C341"/>
      <c r="D341"/>
      <c r="E341"/>
    </row>
    <row r="342" spans="2:5" x14ac:dyDescent="0.2">
      <c r="B342" s="7"/>
      <c r="C342"/>
      <c r="D342"/>
      <c r="E342"/>
    </row>
    <row r="343" spans="2:5" x14ac:dyDescent="0.2">
      <c r="B343" s="7"/>
      <c r="C343"/>
      <c r="D343"/>
      <c r="E343"/>
    </row>
    <row r="344" spans="2:5" x14ac:dyDescent="0.2">
      <c r="B344" s="7"/>
      <c r="C344"/>
      <c r="D344"/>
      <c r="E344"/>
    </row>
    <row r="345" spans="2:5" x14ac:dyDescent="0.2">
      <c r="B345" s="7"/>
      <c r="C345"/>
      <c r="D345"/>
      <c r="E345"/>
    </row>
    <row r="346" spans="2:5" x14ac:dyDescent="0.2">
      <c r="B346" s="7"/>
      <c r="C346"/>
      <c r="D346"/>
      <c r="E346"/>
    </row>
    <row r="347" spans="2:5" x14ac:dyDescent="0.2">
      <c r="B347" s="7"/>
      <c r="C347"/>
      <c r="D347"/>
      <c r="E347"/>
    </row>
    <row r="348" spans="2:5" x14ac:dyDescent="0.2">
      <c r="B348" s="7"/>
      <c r="C348"/>
      <c r="D348"/>
      <c r="E348"/>
    </row>
    <row r="349" spans="2:5" x14ac:dyDescent="0.2">
      <c r="B349" s="7"/>
      <c r="C349"/>
      <c r="D349"/>
      <c r="E349"/>
    </row>
    <row r="350" spans="2:5" x14ac:dyDescent="0.2">
      <c r="B350" s="7"/>
      <c r="C350"/>
      <c r="D350"/>
      <c r="E350"/>
    </row>
    <row r="351" spans="2:5" x14ac:dyDescent="0.2">
      <c r="B351" s="7"/>
      <c r="C351"/>
      <c r="D351"/>
      <c r="E351"/>
    </row>
    <row r="352" spans="2:5" x14ac:dyDescent="0.2">
      <c r="B352" s="7"/>
      <c r="C352"/>
      <c r="D352"/>
      <c r="E352"/>
    </row>
    <row r="355" spans="2:4" x14ac:dyDescent="0.2">
      <c r="B355" s="4" t="s">
        <v>478</v>
      </c>
    </row>
    <row r="356" spans="2:4" x14ac:dyDescent="0.2">
      <c r="B356" s="96" t="s">
        <v>479</v>
      </c>
      <c r="D356" s="8"/>
    </row>
    <row r="357" spans="2:4" x14ac:dyDescent="0.2">
      <c r="B357" s="96" t="s">
        <v>480</v>
      </c>
      <c r="D357" s="8"/>
    </row>
    <row r="358" spans="2:4" x14ac:dyDescent="0.2">
      <c r="B358" s="96" t="s">
        <v>474</v>
      </c>
      <c r="D358" s="8"/>
    </row>
    <row r="359" spans="2:4" x14ac:dyDescent="0.2">
      <c r="B359" s="96" t="s">
        <v>510</v>
      </c>
      <c r="D359" s="8"/>
    </row>
    <row r="360" spans="2:4" x14ac:dyDescent="0.2">
      <c r="B360" s="96" t="s">
        <v>481</v>
      </c>
      <c r="D360" s="8"/>
    </row>
    <row r="361" spans="2:4" x14ac:dyDescent="0.2">
      <c r="B361" s="96" t="s">
        <v>476</v>
      </c>
    </row>
    <row r="362" spans="2:4" x14ac:dyDescent="0.2">
      <c r="B362" s="96" t="s">
        <v>482</v>
      </c>
    </row>
    <row r="363" spans="2:4" x14ac:dyDescent="0.2">
      <c r="B363" s="97"/>
    </row>
    <row r="364" spans="2:4" x14ac:dyDescent="0.2">
      <c r="B364" s="97"/>
    </row>
    <row r="366" spans="2:4" x14ac:dyDescent="0.2">
      <c r="B366" s="2" t="s">
        <v>692</v>
      </c>
    </row>
    <row r="367" spans="2:4" x14ac:dyDescent="0.2">
      <c r="B367" s="96" t="s">
        <v>693</v>
      </c>
    </row>
    <row r="368" spans="2:4" x14ac:dyDescent="0.2">
      <c r="B368" s="96" t="s">
        <v>694</v>
      </c>
    </row>
    <row r="369" spans="2:2" x14ac:dyDescent="0.2">
      <c r="B369" s="96" t="s">
        <v>718</v>
      </c>
    </row>
    <row r="370" spans="2:2" x14ac:dyDescent="0.2">
      <c r="B370" s="96" t="s">
        <v>695</v>
      </c>
    </row>
    <row r="371" spans="2:2" x14ac:dyDescent="0.2">
      <c r="B371" s="96" t="s">
        <v>696</v>
      </c>
    </row>
    <row r="372" spans="2:2" x14ac:dyDescent="0.2">
      <c r="B372" s="96" t="s">
        <v>697</v>
      </c>
    </row>
    <row r="373" spans="2:2" x14ac:dyDescent="0.2">
      <c r="B373" s="96" t="s">
        <v>698</v>
      </c>
    </row>
    <row r="374" spans="2:2" x14ac:dyDescent="0.2">
      <c r="B374" s="96" t="s">
        <v>699</v>
      </c>
    </row>
    <row r="375" spans="2:2" x14ac:dyDescent="0.2">
      <c r="B375" s="96" t="s">
        <v>700</v>
      </c>
    </row>
    <row r="376" spans="2:2" x14ac:dyDescent="0.2">
      <c r="B376" s="96" t="s">
        <v>701</v>
      </c>
    </row>
    <row r="377" spans="2:2" x14ac:dyDescent="0.2">
      <c r="B377" s="96" t="s">
        <v>702</v>
      </c>
    </row>
    <row r="378" spans="2:2" x14ac:dyDescent="0.2">
      <c r="B378" s="96" t="s">
        <v>703</v>
      </c>
    </row>
    <row r="379" spans="2:2" x14ac:dyDescent="0.2">
      <c r="B379" s="96" t="s">
        <v>704</v>
      </c>
    </row>
    <row r="381" spans="2:2" x14ac:dyDescent="0.2">
      <c r="B381" s="122" t="s">
        <v>706</v>
      </c>
    </row>
    <row r="382" spans="2:2" x14ac:dyDescent="0.2">
      <c r="B382" s="96" t="s">
        <v>707</v>
      </c>
    </row>
    <row r="383" spans="2:2" x14ac:dyDescent="0.2">
      <c r="B383" s="96" t="s">
        <v>717</v>
      </c>
    </row>
    <row r="384" spans="2:2" x14ac:dyDescent="0.2">
      <c r="B384" s="96" t="s">
        <v>708</v>
      </c>
    </row>
    <row r="385" spans="2:2" x14ac:dyDescent="0.2">
      <c r="B385" s="96" t="s">
        <v>709</v>
      </c>
    </row>
    <row r="386" spans="2:2" x14ac:dyDescent="0.2">
      <c r="B386" s="96" t="s">
        <v>715</v>
      </c>
    </row>
    <row r="387" spans="2:2" x14ac:dyDescent="0.2">
      <c r="B387" s="96" t="s">
        <v>716</v>
      </c>
    </row>
    <row r="388" spans="2:2" x14ac:dyDescent="0.2">
      <c r="B388" s="96" t="s">
        <v>710</v>
      </c>
    </row>
    <row r="389" spans="2:2" x14ac:dyDescent="0.2">
      <c r="B389" s="96" t="s">
        <v>711</v>
      </c>
    </row>
    <row r="390" spans="2:2" x14ac:dyDescent="0.2">
      <c r="B390" s="96" t="s">
        <v>714</v>
      </c>
    </row>
    <row r="391" spans="2:2" x14ac:dyDescent="0.2">
      <c r="B391" s="96" t="s">
        <v>712</v>
      </c>
    </row>
    <row r="392" spans="2:2" x14ac:dyDescent="0.2">
      <c r="B392" s="96" t="s">
        <v>713</v>
      </c>
    </row>
    <row r="393" spans="2:2" x14ac:dyDescent="0.2">
      <c r="B393" s="96" t="s">
        <v>625</v>
      </c>
    </row>
    <row r="394" spans="2:2" x14ac:dyDescent="0.2">
      <c r="B394" s="1"/>
    </row>
    <row r="395" spans="2:2" x14ac:dyDescent="0.2">
      <c r="B395" s="8"/>
    </row>
    <row r="396" spans="2:2" x14ac:dyDescent="0.2">
      <c r="B396" s="8"/>
    </row>
    <row r="397" spans="2:2" x14ac:dyDescent="0.2">
      <c r="B397" s="8"/>
    </row>
    <row r="398" spans="2:2" x14ac:dyDescent="0.2">
      <c r="B398" s="8"/>
    </row>
    <row r="399" spans="2:2" x14ac:dyDescent="0.2">
      <c r="B399" s="8"/>
    </row>
    <row r="400" spans="2:2" x14ac:dyDescent="0.2">
      <c r="B400" s="8"/>
    </row>
    <row r="401" spans="2:2" x14ac:dyDescent="0.2">
      <c r="B401" s="8"/>
    </row>
    <row r="402" spans="2:2" x14ac:dyDescent="0.2">
      <c r="B402" s="8"/>
    </row>
    <row r="403" spans="2:2" x14ac:dyDescent="0.2">
      <c r="B403" s="8"/>
    </row>
    <row r="404" spans="2:2" x14ac:dyDescent="0.2">
      <c r="B404" s="8"/>
    </row>
    <row r="405" spans="2:2" x14ac:dyDescent="0.2">
      <c r="B405" s="8"/>
    </row>
    <row r="406" spans="2:2" x14ac:dyDescent="0.2">
      <c r="B406" s="8"/>
    </row>
    <row r="407" spans="2:2" x14ac:dyDescent="0.2">
      <c r="B407" s="8"/>
    </row>
    <row r="408" spans="2:2" x14ac:dyDescent="0.2">
      <c r="B408" s="8"/>
    </row>
    <row r="409" spans="2:2" x14ac:dyDescent="0.2">
      <c r="B409" s="8"/>
    </row>
    <row r="410" spans="2:2" x14ac:dyDescent="0.2">
      <c r="B410" s="8"/>
    </row>
  </sheetData>
  <autoFilter ref="A3:J275" xr:uid="{00000000-0001-0000-0B00-000000000000}"/>
  <sortState ref="B4:E145">
    <sortCondition ref="C4:C145"/>
    <sortCondition ref="B4:B145"/>
  </sortState>
  <pageMargins left="0.43307086614173229" right="0.47244094488188981" top="0.48" bottom="0.47" header="0.31496062992125984" footer="0.31496062992125984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B1:J46"/>
  <sheetViews>
    <sheetView workbookViewId="0">
      <selection activeCell="F47" sqref="F47"/>
    </sheetView>
  </sheetViews>
  <sheetFormatPr defaultColWidth="9.140625" defaultRowHeight="12.75" x14ac:dyDescent="0.2"/>
  <cols>
    <col min="1" max="1" width="5" style="1" customWidth="1"/>
    <col min="2" max="2" width="38.7109375" style="1" customWidth="1"/>
    <col min="3" max="3" width="9.140625" style="1"/>
    <col min="4" max="4" width="11.85546875" style="1" customWidth="1"/>
    <col min="5" max="5" width="9.140625" style="1"/>
    <col min="6" max="6" width="9.42578125" style="1" customWidth="1"/>
    <col min="7" max="8" width="9.140625" style="1"/>
    <col min="9" max="9" width="23.7109375" style="1" customWidth="1"/>
    <col min="10" max="10" width="9.140625" style="1" hidden="1" customWidth="1"/>
    <col min="11" max="16384" width="9.140625" style="1"/>
  </cols>
  <sheetData>
    <row r="1" spans="2:10" ht="3.75" customHeight="1" x14ac:dyDescent="0.2"/>
    <row r="2" spans="2:10" ht="18" x14ac:dyDescent="0.25">
      <c r="B2" s="9" t="str">
        <f>setups!D22</f>
        <v>Outturn Forecast for 2024-25 Financial Year based on October FMR</v>
      </c>
      <c r="F2" s="107"/>
      <c r="G2" s="107"/>
      <c r="H2" s="107"/>
      <c r="I2" s="107"/>
    </row>
    <row r="3" spans="2:10" ht="6" customHeight="1" x14ac:dyDescent="0.2"/>
    <row r="4" spans="2:10" ht="15.75" x14ac:dyDescent="0.25">
      <c r="B4" s="256" t="str">
        <f>'School &amp; Other Info'!F4</f>
        <v>Nutfield Church CofE Primary School</v>
      </c>
      <c r="C4" s="256"/>
      <c r="D4" s="2" t="str">
        <f>'School &amp; Other Info'!F6</f>
        <v>ECFE8719</v>
      </c>
      <c r="F4" s="2" t="str">
        <f>'School &amp; Other Info'!H6</f>
        <v>VA</v>
      </c>
      <c r="J4" s="2" t="s">
        <v>635</v>
      </c>
    </row>
    <row r="5" spans="2:10" ht="6.75" customHeight="1" x14ac:dyDescent="0.2"/>
    <row r="6" spans="2:10" ht="25.5" x14ac:dyDescent="0.2">
      <c r="D6" s="108" t="str">
        <f>"Forecast to March "&amp;LEFT(setups!D4,4)</f>
        <v>Forecast to March 2025</v>
      </c>
    </row>
    <row r="7" spans="2:10" x14ac:dyDescent="0.2">
      <c r="B7" s="2" t="s">
        <v>601</v>
      </c>
    </row>
    <row r="8" spans="2:10" x14ac:dyDescent="0.2">
      <c r="B8" s="8" t="s">
        <v>599</v>
      </c>
      <c r="D8" s="202">
        <v>165133</v>
      </c>
      <c r="F8" s="94" t="str">
        <f>IF(LEN(D8)=0,"ERROR - Data input required - enter 0 (zero) if appropriate","")</f>
        <v/>
      </c>
      <c r="J8" s="1">
        <f>IF(LEN(D8)=0,1,0)</f>
        <v>0</v>
      </c>
    </row>
    <row r="9" spans="2:10" x14ac:dyDescent="0.2">
      <c r="B9" s="8" t="s">
        <v>600</v>
      </c>
      <c r="D9" s="202">
        <v>1134217</v>
      </c>
      <c r="F9" s="94" t="str">
        <f>IF(LEN(D9)=0,"ERROR - Data input required - enter 0 (zero) if appropriate","")</f>
        <v/>
      </c>
      <c r="J9" s="1">
        <f>IF(LEN(D9)=0,1,0)</f>
        <v>0</v>
      </c>
    </row>
    <row r="10" spans="2:10" x14ac:dyDescent="0.2">
      <c r="B10" s="8" t="s">
        <v>604</v>
      </c>
      <c r="D10" s="202">
        <v>9043</v>
      </c>
      <c r="F10" s="94" t="str">
        <f>IF(LEN(D10)=0,"ERROR - Data input required - enter 0 (zero) if appropriate","")</f>
        <v/>
      </c>
      <c r="J10" s="1">
        <f>IF(LEN(D10)=0,1,0)</f>
        <v>0</v>
      </c>
    </row>
    <row r="11" spans="2:10" x14ac:dyDescent="0.2">
      <c r="B11" s="2" t="s">
        <v>59</v>
      </c>
      <c r="D11" s="203">
        <f>SUM(D8:D10)</f>
        <v>1308393</v>
      </c>
    </row>
    <row r="12" spans="2:10" ht="8.1" customHeight="1" x14ac:dyDescent="0.2">
      <c r="D12" s="204"/>
    </row>
    <row r="13" spans="2:10" x14ac:dyDescent="0.2">
      <c r="B13" s="2" t="s">
        <v>368</v>
      </c>
      <c r="D13" s="204"/>
    </row>
    <row r="14" spans="2:10" x14ac:dyDescent="0.2">
      <c r="B14" s="8" t="s">
        <v>129</v>
      </c>
      <c r="D14" s="202">
        <v>986181</v>
      </c>
      <c r="F14" s="94" t="str">
        <f>IF(LEN(D14)=0,"ERROR - Data input required - enter 0 (zero) if appropriate","")</f>
        <v/>
      </c>
      <c r="J14" s="1">
        <f>IF(LEN(D14)=0,1,0)</f>
        <v>0</v>
      </c>
    </row>
    <row r="15" spans="2:10" x14ac:dyDescent="0.2">
      <c r="B15" s="8" t="s">
        <v>602</v>
      </c>
      <c r="D15" s="202">
        <v>56030</v>
      </c>
      <c r="F15" s="94" t="str">
        <f>IF(LEN(D15)=0,"ERROR - Data input required - enter 0 (zero) if appropriate","")</f>
        <v/>
      </c>
      <c r="J15" s="1">
        <f>IF(LEN(D15)=0,1,0)</f>
        <v>0</v>
      </c>
    </row>
    <row r="16" spans="2:10" x14ac:dyDescent="0.2">
      <c r="B16" s="8" t="s">
        <v>603</v>
      </c>
      <c r="D16" s="202">
        <v>191588</v>
      </c>
      <c r="F16" s="94" t="str">
        <f>IF(LEN(D16)=0,"ERROR - Data input required - enter 0 (zero) if appropriate","")</f>
        <v/>
      </c>
      <c r="J16" s="1">
        <f>IF(LEN(D16)=0,1,0)</f>
        <v>0</v>
      </c>
    </row>
    <row r="17" spans="2:10" x14ac:dyDescent="0.2">
      <c r="B17" s="2" t="s">
        <v>59</v>
      </c>
      <c r="D17" s="203">
        <f>SUM(D14:D16)</f>
        <v>1233799</v>
      </c>
    </row>
    <row r="18" spans="2:10" ht="8.1" customHeight="1" x14ac:dyDescent="0.2">
      <c r="D18" s="204"/>
    </row>
    <row r="19" spans="2:10" ht="13.5" thickBot="1" x14ac:dyDescent="0.25">
      <c r="B19" s="2" t="str">
        <f>"Balance to carry-forward to "&amp;setups!D4</f>
        <v>Balance to carry-forward to 2025-26</v>
      </c>
      <c r="D19" s="205">
        <f>D11-D17</f>
        <v>74594</v>
      </c>
    </row>
    <row r="20" spans="2:10" ht="13.5" thickTop="1" x14ac:dyDescent="0.2">
      <c r="D20" s="204"/>
    </row>
    <row r="21" spans="2:10" x14ac:dyDescent="0.2">
      <c r="B21" s="2" t="s">
        <v>605</v>
      </c>
      <c r="D21" s="204"/>
    </row>
    <row r="22" spans="2:10" x14ac:dyDescent="0.2">
      <c r="B22" s="8" t="s">
        <v>599</v>
      </c>
      <c r="D22" s="202">
        <v>111958</v>
      </c>
      <c r="F22" s="94" t="str">
        <f>IF(LEN(D22)=0,"ERROR - Data input required - enter 0 (zero) if appropriate","")</f>
        <v/>
      </c>
      <c r="J22" s="1">
        <f>IF(LEN(D22)=0,1,0)</f>
        <v>0</v>
      </c>
    </row>
    <row r="23" spans="2:10" x14ac:dyDescent="0.2">
      <c r="B23" s="8" t="s">
        <v>600</v>
      </c>
      <c r="D23" s="202">
        <v>0</v>
      </c>
      <c r="F23" s="94" t="str">
        <f>IF(LEN(D23)=0,"ERROR - Data input required - enter 0 (zero) if appropriate","")</f>
        <v/>
      </c>
      <c r="J23" s="1">
        <f>IF(LEN(D23)=0,1,0)</f>
        <v>0</v>
      </c>
    </row>
    <row r="24" spans="2:10" x14ac:dyDescent="0.2">
      <c r="B24" s="8" t="s">
        <v>604</v>
      </c>
      <c r="D24" s="202">
        <v>125538</v>
      </c>
      <c r="F24" s="94" t="str">
        <f>IF(LEN(D24)=0,"ERROR - Data input required - enter 0 (zero) if appropriate","")</f>
        <v/>
      </c>
      <c r="J24" s="1">
        <f>IF(LEN(D24)=0,1,0)</f>
        <v>0</v>
      </c>
    </row>
    <row r="25" spans="2:10" x14ac:dyDescent="0.2">
      <c r="B25" s="2" t="s">
        <v>59</v>
      </c>
      <c r="D25" s="203">
        <f>SUM(D22:D24)</f>
        <v>237496</v>
      </c>
    </row>
    <row r="26" spans="2:10" ht="8.1" customHeight="1" x14ac:dyDescent="0.2">
      <c r="D26" s="204"/>
    </row>
    <row r="27" spans="2:10" x14ac:dyDescent="0.2">
      <c r="B27" s="2" t="s">
        <v>606</v>
      </c>
      <c r="D27" s="204"/>
    </row>
    <row r="28" spans="2:10" x14ac:dyDescent="0.2">
      <c r="B28" s="8" t="s">
        <v>129</v>
      </c>
      <c r="D28" s="202">
        <v>57635</v>
      </c>
      <c r="F28" s="94" t="str">
        <f>IF(LEN(D28)=0,"ERROR - Data input required - enter 0 (zero) if appropriate","")</f>
        <v/>
      </c>
      <c r="J28" s="1">
        <f>IF(LEN(D28)=0,1,0)</f>
        <v>0</v>
      </c>
    </row>
    <row r="29" spans="2:10" x14ac:dyDescent="0.2">
      <c r="B29" s="8" t="s">
        <v>602</v>
      </c>
      <c r="D29" s="202">
        <v>2200</v>
      </c>
      <c r="F29" s="94" t="str">
        <f>IF(LEN(D29)=0,"ERROR - Data input required - enter 0 (zero) if appropriate","")</f>
        <v/>
      </c>
      <c r="J29" s="1">
        <f>IF(LEN(D29)=0,1,0)</f>
        <v>0</v>
      </c>
    </row>
    <row r="30" spans="2:10" x14ac:dyDescent="0.2">
      <c r="B30" s="8" t="s">
        <v>603</v>
      </c>
      <c r="D30" s="202">
        <v>5970</v>
      </c>
      <c r="F30" s="94" t="str">
        <f>IF(LEN(D30)=0,"ERROR - Data input required - enter 0 (zero) if appropriate","")</f>
        <v/>
      </c>
      <c r="J30" s="1">
        <f>IF(LEN(D30)=0,1,0)</f>
        <v>0</v>
      </c>
    </row>
    <row r="31" spans="2:10" x14ac:dyDescent="0.2">
      <c r="B31" s="2" t="s">
        <v>59</v>
      </c>
      <c r="D31" s="203">
        <f>SUM(D28:D30)</f>
        <v>65805</v>
      </c>
    </row>
    <row r="32" spans="2:10" ht="8.1" customHeight="1" x14ac:dyDescent="0.2">
      <c r="D32" s="204"/>
    </row>
    <row r="33" spans="2:10" ht="13.5" thickBot="1" x14ac:dyDescent="0.25">
      <c r="B33" s="2" t="str">
        <f>"Balance to carry-forward to "&amp;setups!D4</f>
        <v>Balance to carry-forward to 2025-26</v>
      </c>
      <c r="D33" s="205">
        <f>D25-D31</f>
        <v>171691</v>
      </c>
    </row>
    <row r="34" spans="2:10" ht="13.5" thickTop="1" x14ac:dyDescent="0.2">
      <c r="D34" s="204"/>
    </row>
    <row r="35" spans="2:10" x14ac:dyDescent="0.2">
      <c r="B35" s="2" t="s">
        <v>607</v>
      </c>
      <c r="D35" s="204"/>
    </row>
    <row r="36" spans="2:10" x14ac:dyDescent="0.2">
      <c r="B36" s="8" t="s">
        <v>599</v>
      </c>
      <c r="D36" s="202">
        <v>0</v>
      </c>
      <c r="F36" s="94" t="str">
        <f>IF(LEN(D36)=0,"ERROR - Data input required - enter 0 (zero) if appropriate","")</f>
        <v/>
      </c>
      <c r="J36" s="1">
        <f>IF(LEN(D36)=0,1,0)</f>
        <v>0</v>
      </c>
    </row>
    <row r="37" spans="2:10" x14ac:dyDescent="0.2">
      <c r="B37" s="8" t="s">
        <v>600</v>
      </c>
      <c r="D37" s="202">
        <v>13200</v>
      </c>
      <c r="F37" s="94" t="str">
        <f>IF(LEN(D37)=0,"ERROR - Data input required - enter 0 (zero) if appropriate","")</f>
        <v/>
      </c>
      <c r="J37" s="1">
        <f>IF(LEN(D37)=0,1,0)</f>
        <v>0</v>
      </c>
    </row>
    <row r="38" spans="2:10" x14ac:dyDescent="0.2">
      <c r="B38" s="8" t="s">
        <v>604</v>
      </c>
      <c r="D38" s="202">
        <v>0</v>
      </c>
      <c r="F38" s="94" t="str">
        <f>IF(LEN(D38)=0,"ERROR - Data input required - enter 0 (zero) if appropriate","")</f>
        <v/>
      </c>
      <c r="J38" s="1">
        <f>IF(LEN(D38)=0,1,0)</f>
        <v>0</v>
      </c>
    </row>
    <row r="39" spans="2:10" x14ac:dyDescent="0.2">
      <c r="B39" s="2" t="s">
        <v>59</v>
      </c>
      <c r="D39" s="203">
        <f>SUM(D36:D38)</f>
        <v>13200</v>
      </c>
    </row>
    <row r="40" spans="2:10" ht="8.1" customHeight="1" x14ac:dyDescent="0.2">
      <c r="D40" s="204"/>
    </row>
    <row r="41" spans="2:10" x14ac:dyDescent="0.2">
      <c r="B41" s="2" t="s">
        <v>608</v>
      </c>
      <c r="D41" s="204"/>
    </row>
    <row r="42" spans="2:10" x14ac:dyDescent="0.2">
      <c r="B42" s="8" t="s">
        <v>609</v>
      </c>
      <c r="D42" s="202">
        <v>13200</v>
      </c>
      <c r="F42" s="94" t="str">
        <f>IF(LEN(D42)=0,"ERROR - Data input required - enter 0 (zero) if appropriate","")</f>
        <v/>
      </c>
      <c r="J42" s="1">
        <f>IF(LEN(D42)=0,1,0)</f>
        <v>0</v>
      </c>
    </row>
    <row r="43" spans="2:10" x14ac:dyDescent="0.2">
      <c r="B43" s="2" t="s">
        <v>59</v>
      </c>
      <c r="D43" s="203">
        <f>SUM(D42:D42)</f>
        <v>13200</v>
      </c>
    </row>
    <row r="44" spans="2:10" ht="8.1" customHeight="1" x14ac:dyDescent="0.2">
      <c r="D44" s="204"/>
    </row>
    <row r="45" spans="2:10" ht="13.5" thickBot="1" x14ac:dyDescent="0.25">
      <c r="B45" s="2" t="str">
        <f>"Balance to carry-forward to "&amp;setups!D4</f>
        <v>Balance to carry-forward to 2025-26</v>
      </c>
      <c r="D45" s="205">
        <f>D39-D43</f>
        <v>0</v>
      </c>
      <c r="J45" s="109">
        <f>SUM(J8:J42)</f>
        <v>0</v>
      </c>
    </row>
    <row r="46" spans="2:10" ht="13.5" thickTop="1" x14ac:dyDescent="0.2"/>
  </sheetData>
  <sheetProtection password="97FF" sheet="1" objects="1" scenarios="1"/>
  <mergeCells count="1">
    <mergeCell ref="B4:C4"/>
  </mergeCells>
  <pageMargins left="0.31496062992125984" right="0.19685039370078741" top="0.39370078740157483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B1:Y51"/>
  <sheetViews>
    <sheetView topLeftCell="A7" zoomScaleNormal="100" workbookViewId="0">
      <selection activeCell="P44" sqref="P44"/>
    </sheetView>
  </sheetViews>
  <sheetFormatPr defaultColWidth="9.140625" defaultRowHeight="12.75" x14ac:dyDescent="0.2"/>
  <cols>
    <col min="1" max="1" width="1.7109375" style="1" customWidth="1"/>
    <col min="2" max="2" width="8" style="1" customWidth="1"/>
    <col min="3" max="3" width="15.140625" style="1" customWidth="1"/>
    <col min="4" max="4" width="9.140625" style="1"/>
    <col min="5" max="5" width="5.5703125" style="1" customWidth="1"/>
    <col min="6" max="6" width="9.85546875" style="1" customWidth="1"/>
    <col min="7" max="7" width="5.5703125" style="1" customWidth="1"/>
    <col min="8" max="8" width="9.85546875" style="1" customWidth="1"/>
    <col min="9" max="9" width="5.5703125" style="1" customWidth="1"/>
    <col min="10" max="10" width="9" style="1" customWidth="1"/>
    <col min="11" max="11" width="3.7109375" style="1" customWidth="1"/>
    <col min="12" max="12" width="10.28515625" style="1" bestFit="1" customWidth="1"/>
    <col min="13" max="13" width="2.7109375" style="1" customWidth="1"/>
    <col min="14" max="14" width="11.28515625" style="1" bestFit="1" customWidth="1"/>
    <col min="15" max="15" width="2" style="1" customWidth="1"/>
    <col min="16" max="16" width="9.5703125" style="1" customWidth="1"/>
    <col min="17" max="17" width="1.42578125" style="1" customWidth="1"/>
    <col min="18" max="18" width="12.5703125" style="1" customWidth="1"/>
    <col min="19" max="20" width="9.140625" style="1"/>
    <col min="21" max="21" width="2" style="1" customWidth="1"/>
    <col min="22" max="24" width="9.140625" style="1"/>
    <col min="25" max="25" width="9.140625" style="1" hidden="1" customWidth="1"/>
    <col min="26" max="16384" width="9.140625" style="1"/>
  </cols>
  <sheetData>
    <row r="1" spans="2:25" ht="2.25" customHeight="1" x14ac:dyDescent="0.2"/>
    <row r="2" spans="2:25" ht="18" x14ac:dyDescent="0.25">
      <c r="B2" s="9" t="str">
        <f>setups!D23</f>
        <v>Draft Budget Plan 2025-26 Financial Year</v>
      </c>
    </row>
    <row r="3" spans="2:25" ht="4.5" customHeight="1" x14ac:dyDescent="0.2"/>
    <row r="4" spans="2:25" s="39" customFormat="1" ht="18" x14ac:dyDescent="0.2">
      <c r="B4" s="38" t="s">
        <v>136</v>
      </c>
      <c r="D4" s="43">
        <v>3376</v>
      </c>
      <c r="F4" s="268" t="str">
        <f>IF(ISBLANK(D4),"",IFERROR(VLOOKUP(D4,sch,2,FALSE),"ERROR - Invalid DfE Number"))</f>
        <v>Nutfield Church CofE Primary School</v>
      </c>
      <c r="G4" s="268"/>
      <c r="H4" s="268"/>
      <c r="I4" s="268"/>
      <c r="J4" s="268"/>
      <c r="K4" s="268"/>
      <c r="L4" s="268"/>
      <c r="M4" s="268"/>
      <c r="Y4" s="38" t="s">
        <v>635</v>
      </c>
    </row>
    <row r="5" spans="2:25" ht="18" customHeight="1" x14ac:dyDescent="0.2">
      <c r="B5" s="105" t="s">
        <v>507</v>
      </c>
      <c r="L5" s="269" t="s">
        <v>502</v>
      </c>
      <c r="M5" s="270"/>
      <c r="N5" s="270"/>
      <c r="O5" s="39"/>
      <c r="P5" s="271" t="s">
        <v>814</v>
      </c>
      <c r="Q5" s="272"/>
      <c r="R5" s="273"/>
      <c r="S5" s="173" t="str">
        <f>IF(LEFT(B2,5)="Draft","for Current Financial Year","for "&amp;setups!D4&amp;" Financial Year")</f>
        <v>for Current Financial Year</v>
      </c>
      <c r="T5" s="39"/>
      <c r="U5" s="39"/>
      <c r="V5" s="39"/>
    </row>
    <row r="6" spans="2:25" ht="18.75" customHeight="1" x14ac:dyDescent="0.2">
      <c r="B6" s="2" t="s">
        <v>508</v>
      </c>
      <c r="F6" s="1" t="str">
        <f>IFERROR(VLOOKUP(D4,sch,4,FALSE),"No School Selected")</f>
        <v>ECFE8719</v>
      </c>
      <c r="H6" s="1" t="str">
        <f>IFERROR(VLOOKUP(D4,sch,3,FALSE),"No School Selected")</f>
        <v>VA</v>
      </c>
      <c r="K6" s="39"/>
      <c r="L6" s="274" t="str">
        <f>IF(P5="Other","Enter Name of Provider","")</f>
        <v/>
      </c>
      <c r="M6" s="274"/>
      <c r="N6" s="274"/>
      <c r="O6" s="39"/>
      <c r="P6" s="271"/>
      <c r="Q6" s="275"/>
      <c r="R6" s="276"/>
      <c r="T6" s="94"/>
    </row>
    <row r="7" spans="2:25" ht="4.5" customHeight="1" x14ac:dyDescent="0.2">
      <c r="B7" s="8"/>
    </row>
    <row r="8" spans="2:25" ht="15" customHeight="1" x14ac:dyDescent="0.2">
      <c r="B8" s="10" t="s">
        <v>622</v>
      </c>
      <c r="D8" s="2" t="s">
        <v>471</v>
      </c>
      <c r="E8" s="2" t="s">
        <v>472</v>
      </c>
      <c r="F8" s="2"/>
      <c r="G8" s="2" t="s">
        <v>473</v>
      </c>
      <c r="H8" s="2"/>
    </row>
    <row r="9" spans="2:25" ht="12.75" customHeight="1" x14ac:dyDescent="0.2">
      <c r="B9" s="8" t="s">
        <v>470</v>
      </c>
      <c r="D9" s="95" t="s">
        <v>479</v>
      </c>
      <c r="E9" s="261" t="s">
        <v>843</v>
      </c>
      <c r="F9" s="262"/>
      <c r="G9" s="263" t="s">
        <v>844</v>
      </c>
      <c r="H9" s="263"/>
      <c r="I9" s="263"/>
      <c r="J9" s="98" t="s">
        <v>134</v>
      </c>
      <c r="K9" s="98"/>
      <c r="L9" s="264" t="s">
        <v>849</v>
      </c>
      <c r="M9" s="265"/>
      <c r="N9" s="265"/>
      <c r="O9" s="265"/>
      <c r="P9" s="266"/>
      <c r="R9" s="8" t="s">
        <v>133</v>
      </c>
      <c r="S9" s="257" t="s">
        <v>852</v>
      </c>
      <c r="T9" s="258"/>
    </row>
    <row r="10" spans="2:25" x14ac:dyDescent="0.2">
      <c r="B10" s="8" t="s">
        <v>475</v>
      </c>
      <c r="D10" s="95" t="s">
        <v>474</v>
      </c>
      <c r="E10" s="261" t="s">
        <v>845</v>
      </c>
      <c r="F10" s="262"/>
      <c r="G10" s="263" t="s">
        <v>846</v>
      </c>
      <c r="H10" s="263"/>
      <c r="I10" s="263"/>
      <c r="J10" s="98" t="s">
        <v>134</v>
      </c>
      <c r="K10" s="98"/>
      <c r="L10" s="264" t="s">
        <v>850</v>
      </c>
      <c r="M10" s="265"/>
      <c r="N10" s="265"/>
      <c r="O10" s="265"/>
      <c r="P10" s="266"/>
      <c r="R10" s="106" t="s">
        <v>753</v>
      </c>
    </row>
    <row r="11" spans="2:25" x14ac:dyDescent="0.2">
      <c r="B11" s="8" t="s">
        <v>799</v>
      </c>
      <c r="D11" s="95" t="s">
        <v>479</v>
      </c>
      <c r="E11" s="261" t="s">
        <v>847</v>
      </c>
      <c r="F11" s="262"/>
      <c r="G11" s="263" t="s">
        <v>848</v>
      </c>
      <c r="H11" s="263"/>
      <c r="I11" s="263"/>
      <c r="J11" s="98" t="s">
        <v>134</v>
      </c>
      <c r="K11" s="98"/>
      <c r="L11" s="264" t="s">
        <v>851</v>
      </c>
      <c r="M11" s="265"/>
      <c r="N11" s="265"/>
      <c r="O11" s="265"/>
      <c r="P11" s="266"/>
      <c r="R11" s="106"/>
    </row>
    <row r="12" spans="2:25" x14ac:dyDescent="0.2">
      <c r="B12" s="8" t="s">
        <v>800</v>
      </c>
      <c r="D12" s="95" t="s">
        <v>479</v>
      </c>
      <c r="E12" s="261" t="s">
        <v>847</v>
      </c>
      <c r="F12" s="262"/>
      <c r="G12" s="263" t="s">
        <v>848</v>
      </c>
      <c r="H12" s="263"/>
      <c r="I12" s="263"/>
      <c r="J12" s="98" t="s">
        <v>134</v>
      </c>
      <c r="K12" s="98"/>
      <c r="L12" s="264" t="s">
        <v>851</v>
      </c>
      <c r="M12" s="265"/>
      <c r="N12" s="265"/>
      <c r="O12" s="265"/>
      <c r="P12" s="266"/>
    </row>
    <row r="13" spans="2:25" ht="31.5" customHeight="1" x14ac:dyDescent="0.2">
      <c r="B13" s="259" t="s">
        <v>807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</row>
    <row r="14" spans="2:25" x14ac:dyDescent="0.2">
      <c r="B14" s="10" t="s">
        <v>41</v>
      </c>
      <c r="F14" s="260" t="s">
        <v>130</v>
      </c>
      <c r="G14" s="260"/>
      <c r="H14" s="260"/>
      <c r="I14" s="260"/>
      <c r="J14" s="260"/>
    </row>
    <row r="15" spans="2:25" x14ac:dyDescent="0.2">
      <c r="B15" s="8" t="s">
        <v>621</v>
      </c>
      <c r="F15" s="85" t="str">
        <f>setups!D9</f>
        <v>Sep 2024</v>
      </c>
      <c r="G15" s="6"/>
      <c r="H15" s="85" t="str">
        <f>setups!D10</f>
        <v>Sep 2025</v>
      </c>
      <c r="I15" s="41"/>
      <c r="J15" s="85" t="str">
        <f>setups!D11</f>
        <v>Sep 2026</v>
      </c>
      <c r="K15" s="84"/>
    </row>
    <row r="16" spans="2:25" x14ac:dyDescent="0.2">
      <c r="F16" s="40" t="s">
        <v>135</v>
      </c>
      <c r="G16" s="6"/>
      <c r="H16" s="41" t="s">
        <v>370</v>
      </c>
      <c r="I16" s="41"/>
      <c r="J16" s="41" t="s">
        <v>370</v>
      </c>
      <c r="K16" s="41"/>
    </row>
    <row r="17" spans="2:25" x14ac:dyDescent="0.2">
      <c r="B17" s="8" t="s">
        <v>11</v>
      </c>
      <c r="C17" s="8" t="s">
        <v>100</v>
      </c>
      <c r="F17" s="5">
        <v>9.59</v>
      </c>
      <c r="H17" s="5">
        <v>10.199999999999999</v>
      </c>
      <c r="I17" s="6"/>
      <c r="J17" s="5">
        <v>9.1999999999999993</v>
      </c>
      <c r="L17" s="94" t="str">
        <f>IF(OR(LEN(F17)=0,LEN(H17)=0,LEN(J17)=0),"ERROR - Actual and Forecasts MUST be completed - enter 0 (zero) if appropriate","")</f>
        <v/>
      </c>
      <c r="Y17" s="1">
        <f>IF(LEFT(L17,5)="ERROR",1,0)</f>
        <v>0</v>
      </c>
    </row>
    <row r="18" spans="2:25" x14ac:dyDescent="0.2">
      <c r="B18" s="8" t="s">
        <v>13</v>
      </c>
      <c r="C18" s="8" t="s">
        <v>127</v>
      </c>
      <c r="F18" s="5">
        <v>5.8</v>
      </c>
      <c r="H18" s="5">
        <v>5.78</v>
      </c>
      <c r="I18" s="6"/>
      <c r="J18" s="5">
        <v>5.78</v>
      </c>
      <c r="L18" s="94" t="str">
        <f t="shared" ref="L18:L23" si="0">IF(OR(LEN(F18)=0,LEN(H18)=0,LEN(J18)=0),"ERROR - Actual and Forecasts MUST be completed - enter 0 (zero) if appropriate","")</f>
        <v/>
      </c>
      <c r="Y18" s="1">
        <f t="shared" ref="Y18:Y23" si="1">IF(LEFT(L18,5)="ERROR",1,0)</f>
        <v>0</v>
      </c>
    </row>
    <row r="19" spans="2:25" x14ac:dyDescent="0.2">
      <c r="B19" s="8" t="s">
        <v>14</v>
      </c>
      <c r="C19" s="8" t="s">
        <v>101</v>
      </c>
      <c r="F19" s="5">
        <v>1</v>
      </c>
      <c r="H19" s="5">
        <v>1</v>
      </c>
      <c r="I19" s="6"/>
      <c r="J19" s="5">
        <v>1</v>
      </c>
      <c r="L19" s="94" t="str">
        <f t="shared" si="0"/>
        <v/>
      </c>
      <c r="Y19" s="1">
        <f t="shared" si="1"/>
        <v>0</v>
      </c>
    </row>
    <row r="20" spans="2:25" x14ac:dyDescent="0.2">
      <c r="B20" s="8" t="s">
        <v>15</v>
      </c>
      <c r="C20" s="8" t="s">
        <v>128</v>
      </c>
      <c r="F20" s="5">
        <v>2.2799999999999998</v>
      </c>
      <c r="H20" s="5">
        <v>2.2799999999999998</v>
      </c>
      <c r="I20" s="6"/>
      <c r="J20" s="5">
        <v>2.2799999999999998</v>
      </c>
      <c r="L20" s="94" t="str">
        <f t="shared" si="0"/>
        <v/>
      </c>
      <c r="Y20" s="1">
        <f t="shared" si="1"/>
        <v>0</v>
      </c>
    </row>
    <row r="21" spans="2:25" x14ac:dyDescent="0.2">
      <c r="B21" s="8" t="s">
        <v>16</v>
      </c>
      <c r="C21" s="8" t="s">
        <v>102</v>
      </c>
      <c r="F21" s="5">
        <v>0</v>
      </c>
      <c r="H21" s="5">
        <v>0</v>
      </c>
      <c r="I21" s="6"/>
      <c r="J21" s="5">
        <v>0</v>
      </c>
      <c r="L21" s="94" t="str">
        <f t="shared" si="0"/>
        <v/>
      </c>
      <c r="Y21" s="1">
        <f t="shared" si="1"/>
        <v>0</v>
      </c>
    </row>
    <row r="22" spans="2:25" x14ac:dyDescent="0.2">
      <c r="B22" s="8" t="s">
        <v>17</v>
      </c>
      <c r="C22" s="8" t="s">
        <v>394</v>
      </c>
      <c r="F22" s="5">
        <v>1.4</v>
      </c>
      <c r="H22" s="5">
        <v>1.1499999999999999</v>
      </c>
      <c r="I22" s="6"/>
      <c r="J22" s="5">
        <v>1.1499999999999999</v>
      </c>
      <c r="L22" s="94" t="str">
        <f t="shared" si="0"/>
        <v/>
      </c>
      <c r="Y22" s="1">
        <f t="shared" si="1"/>
        <v>0</v>
      </c>
    </row>
    <row r="23" spans="2:25" x14ac:dyDescent="0.2">
      <c r="B23" s="8" t="s">
        <v>61</v>
      </c>
      <c r="C23" s="8" t="s">
        <v>739</v>
      </c>
      <c r="F23" s="5">
        <v>2.52</v>
      </c>
      <c r="H23" s="5">
        <v>2.21</v>
      </c>
      <c r="J23" s="5">
        <v>2.21</v>
      </c>
      <c r="L23" s="94" t="str">
        <f t="shared" si="0"/>
        <v/>
      </c>
      <c r="Y23" s="1">
        <f t="shared" si="1"/>
        <v>0</v>
      </c>
    </row>
    <row r="24" spans="2:25" ht="20.100000000000001" customHeight="1" x14ac:dyDescent="0.2">
      <c r="B24" s="10" t="s">
        <v>623</v>
      </c>
      <c r="D24" s="4" t="s">
        <v>131</v>
      </c>
      <c r="F24" s="85" t="str">
        <f>setups!D13</f>
        <v>Oct 2024</v>
      </c>
      <c r="G24" s="4"/>
      <c r="H24" s="85" t="str">
        <f>setups!D14</f>
        <v>Oct 2025</v>
      </c>
      <c r="J24" s="85" t="str">
        <f>setups!D15</f>
        <v>Oct 2026</v>
      </c>
      <c r="Y24" s="209">
        <f>SUM(Y17:Y23)</f>
        <v>0</v>
      </c>
    </row>
    <row r="25" spans="2:25" x14ac:dyDescent="0.2">
      <c r="D25" s="4"/>
      <c r="F25" s="40" t="s">
        <v>135</v>
      </c>
      <c r="G25" s="4"/>
      <c r="H25" s="41" t="s">
        <v>370</v>
      </c>
      <c r="J25" s="41" t="s">
        <v>370</v>
      </c>
    </row>
    <row r="26" spans="2:25" x14ac:dyDescent="0.2">
      <c r="D26" s="42" t="s">
        <v>132</v>
      </c>
      <c r="F26" s="5">
        <v>0</v>
      </c>
      <c r="H26" s="5">
        <v>0</v>
      </c>
      <c r="J26" s="5">
        <v>0</v>
      </c>
      <c r="L26" s="94" t="str">
        <f>IF(OR(LEN(F26)=0,LEN(H26)=0,LEN(J26)=0),"ERROR - NOR MUST be completed for ALL year groups - enter 0 (zero) if year group not applicable","")</f>
        <v/>
      </c>
      <c r="Y26" s="1">
        <f t="shared" ref="Y26:Y41" si="2">IF(LEFT(L26,5)="ERROR",1,0)</f>
        <v>0</v>
      </c>
    </row>
    <row r="27" spans="2:25" x14ac:dyDescent="0.2">
      <c r="D27" s="42" t="s">
        <v>393</v>
      </c>
      <c r="F27" s="5">
        <v>30</v>
      </c>
      <c r="H27" s="5">
        <v>30</v>
      </c>
      <c r="J27" s="5">
        <v>30</v>
      </c>
      <c r="L27" s="94" t="str">
        <f t="shared" ref="L27:L41" si="3">IF(OR(LEN(F27)=0,LEN(H27)=0,LEN(J27)=0),"ERROR - NOR MUST be completed for ALL year groups - enter 0 (zero) if year group not applicable","")</f>
        <v/>
      </c>
      <c r="Y27" s="1">
        <f t="shared" si="2"/>
        <v>0</v>
      </c>
    </row>
    <row r="28" spans="2:25" x14ac:dyDescent="0.2">
      <c r="D28" s="6">
        <v>1</v>
      </c>
      <c r="F28" s="5">
        <v>31</v>
      </c>
      <c r="H28" s="5">
        <v>30</v>
      </c>
      <c r="J28" s="5">
        <v>30</v>
      </c>
      <c r="L28" s="94" t="str">
        <f t="shared" si="3"/>
        <v/>
      </c>
      <c r="Y28" s="1">
        <f t="shared" si="2"/>
        <v>0</v>
      </c>
    </row>
    <row r="29" spans="2:25" x14ac:dyDescent="0.2">
      <c r="D29" s="6">
        <v>2</v>
      </c>
      <c r="F29" s="5">
        <v>30</v>
      </c>
      <c r="H29" s="5">
        <v>31</v>
      </c>
      <c r="J29" s="5">
        <v>30</v>
      </c>
      <c r="L29" s="94" t="str">
        <f t="shared" si="3"/>
        <v/>
      </c>
      <c r="Y29" s="1">
        <f t="shared" si="2"/>
        <v>0</v>
      </c>
    </row>
    <row r="30" spans="2:25" x14ac:dyDescent="0.2">
      <c r="D30" s="6">
        <v>3</v>
      </c>
      <c r="F30" s="5">
        <v>31</v>
      </c>
      <c r="H30" s="5">
        <v>30</v>
      </c>
      <c r="J30" s="5">
        <v>31</v>
      </c>
      <c r="L30" s="94" t="str">
        <f t="shared" si="3"/>
        <v/>
      </c>
      <c r="Y30" s="1">
        <f t="shared" si="2"/>
        <v>0</v>
      </c>
    </row>
    <row r="31" spans="2:25" x14ac:dyDescent="0.2">
      <c r="D31" s="6">
        <v>4</v>
      </c>
      <c r="F31" s="5">
        <v>29</v>
      </c>
      <c r="H31" s="5">
        <v>31</v>
      </c>
      <c r="J31" s="5">
        <v>30</v>
      </c>
      <c r="L31" s="94" t="str">
        <f t="shared" si="3"/>
        <v/>
      </c>
      <c r="Y31" s="1">
        <f t="shared" si="2"/>
        <v>0</v>
      </c>
    </row>
    <row r="32" spans="2:25" x14ac:dyDescent="0.2">
      <c r="D32" s="6">
        <v>5</v>
      </c>
      <c r="F32" s="5">
        <v>27</v>
      </c>
      <c r="H32" s="5">
        <v>29</v>
      </c>
      <c r="J32" s="5">
        <v>30</v>
      </c>
      <c r="L32" s="94" t="str">
        <f t="shared" si="3"/>
        <v/>
      </c>
      <c r="Y32" s="1">
        <f t="shared" si="2"/>
        <v>0</v>
      </c>
    </row>
    <row r="33" spans="2:25" x14ac:dyDescent="0.2">
      <c r="D33" s="6">
        <v>6</v>
      </c>
      <c r="F33" s="5">
        <v>29</v>
      </c>
      <c r="H33" s="5">
        <v>27</v>
      </c>
      <c r="J33" s="5">
        <v>28</v>
      </c>
      <c r="L33" s="94" t="str">
        <f t="shared" si="3"/>
        <v/>
      </c>
      <c r="Y33" s="1">
        <f t="shared" si="2"/>
        <v>0</v>
      </c>
    </row>
    <row r="34" spans="2:25" x14ac:dyDescent="0.2">
      <c r="D34" s="6">
        <v>7</v>
      </c>
      <c r="F34" s="5">
        <v>0</v>
      </c>
      <c r="H34" s="5">
        <v>0</v>
      </c>
      <c r="J34" s="5">
        <v>0</v>
      </c>
      <c r="L34" s="94" t="str">
        <f t="shared" si="3"/>
        <v/>
      </c>
      <c r="Y34" s="1">
        <f t="shared" si="2"/>
        <v>0</v>
      </c>
    </row>
    <row r="35" spans="2:25" x14ac:dyDescent="0.2">
      <c r="D35" s="6">
        <v>8</v>
      </c>
      <c r="F35" s="5">
        <v>0</v>
      </c>
      <c r="H35" s="5">
        <v>0</v>
      </c>
      <c r="J35" s="5">
        <v>0</v>
      </c>
      <c r="L35" s="94" t="str">
        <f t="shared" si="3"/>
        <v/>
      </c>
      <c r="Y35" s="1">
        <f t="shared" si="2"/>
        <v>0</v>
      </c>
    </row>
    <row r="36" spans="2:25" x14ac:dyDescent="0.2">
      <c r="D36" s="6">
        <v>9</v>
      </c>
      <c r="F36" s="5">
        <v>0</v>
      </c>
      <c r="H36" s="5">
        <v>0</v>
      </c>
      <c r="J36" s="5">
        <v>0</v>
      </c>
      <c r="L36" s="94" t="str">
        <f t="shared" si="3"/>
        <v/>
      </c>
      <c r="Y36" s="1">
        <f t="shared" si="2"/>
        <v>0</v>
      </c>
    </row>
    <row r="37" spans="2:25" x14ac:dyDescent="0.2">
      <c r="D37" s="6">
        <v>10</v>
      </c>
      <c r="F37" s="5">
        <v>0</v>
      </c>
      <c r="H37" s="5">
        <v>0</v>
      </c>
      <c r="J37" s="5">
        <v>0</v>
      </c>
      <c r="L37" s="94" t="str">
        <f t="shared" si="3"/>
        <v/>
      </c>
      <c r="Y37" s="1">
        <f t="shared" si="2"/>
        <v>0</v>
      </c>
    </row>
    <row r="38" spans="2:25" x14ac:dyDescent="0.2">
      <c r="D38" s="6">
        <v>11</v>
      </c>
      <c r="F38" s="5">
        <v>0</v>
      </c>
      <c r="H38" s="5">
        <v>0</v>
      </c>
      <c r="J38" s="5">
        <v>0</v>
      </c>
      <c r="L38" s="94" t="str">
        <f t="shared" si="3"/>
        <v/>
      </c>
      <c r="Y38" s="1">
        <f t="shared" si="2"/>
        <v>0</v>
      </c>
    </row>
    <row r="39" spans="2:25" x14ac:dyDescent="0.2">
      <c r="D39" s="6">
        <v>12</v>
      </c>
      <c r="F39" s="5">
        <v>0</v>
      </c>
      <c r="H39" s="5">
        <v>0</v>
      </c>
      <c r="J39" s="5">
        <v>0</v>
      </c>
      <c r="L39" s="94" t="str">
        <f t="shared" si="3"/>
        <v/>
      </c>
      <c r="Y39" s="1">
        <f t="shared" si="2"/>
        <v>0</v>
      </c>
    </row>
    <row r="40" spans="2:25" x14ac:dyDescent="0.2">
      <c r="D40" s="6">
        <v>13</v>
      </c>
      <c r="F40" s="5">
        <v>0</v>
      </c>
      <c r="H40" s="5">
        <v>0</v>
      </c>
      <c r="J40" s="5">
        <v>0</v>
      </c>
      <c r="L40" s="94" t="str">
        <f t="shared" si="3"/>
        <v/>
      </c>
      <c r="Y40" s="1">
        <f t="shared" si="2"/>
        <v>0</v>
      </c>
    </row>
    <row r="41" spans="2:25" x14ac:dyDescent="0.2">
      <c r="D41" s="6">
        <v>14</v>
      </c>
      <c r="F41" s="5">
        <v>0</v>
      </c>
      <c r="H41" s="5">
        <v>0</v>
      </c>
      <c r="J41" s="5">
        <v>0</v>
      </c>
      <c r="L41" s="94" t="str">
        <f t="shared" si="3"/>
        <v/>
      </c>
      <c r="Y41" s="1">
        <f t="shared" si="2"/>
        <v>0</v>
      </c>
    </row>
    <row r="42" spans="2:25" ht="13.5" thickBot="1" x14ac:dyDescent="0.25">
      <c r="D42" s="4" t="s">
        <v>69</v>
      </c>
      <c r="F42" s="91">
        <f>SUM(F26:F41)</f>
        <v>207</v>
      </c>
      <c r="H42" s="91">
        <f>SUM(H26:H41)</f>
        <v>208</v>
      </c>
      <c r="J42" s="91">
        <f>SUM(J26:J41)</f>
        <v>209</v>
      </c>
      <c r="Y42" s="109">
        <f>SUM(Y25:Y41)</f>
        <v>0</v>
      </c>
    </row>
    <row r="43" spans="2:25" ht="13.5" thickTop="1" x14ac:dyDescent="0.2"/>
    <row r="44" spans="2:25" x14ac:dyDescent="0.2">
      <c r="B44" s="213" t="s">
        <v>757</v>
      </c>
      <c r="C44" s="211"/>
    </row>
    <row r="45" spans="2:25" ht="16.5" customHeight="1" x14ac:dyDescent="0.2">
      <c r="B45" s="2" t="s">
        <v>758</v>
      </c>
      <c r="F45" s="5">
        <v>7</v>
      </c>
      <c r="H45" s="5">
        <v>7</v>
      </c>
      <c r="J45" s="5">
        <v>7</v>
      </c>
      <c r="L45" s="94" t="str">
        <f>IF(OR(LEN(F45)=0,LEN(H45)=0,LEN(J45)=0),"ERROR - Number of classes MUST be completed","")</f>
        <v/>
      </c>
    </row>
    <row r="46" spans="2:25" ht="16.5" customHeight="1" x14ac:dyDescent="0.2">
      <c r="B46" s="2"/>
      <c r="L46" s="94"/>
    </row>
    <row r="47" spans="2:25" ht="16.5" customHeight="1" x14ac:dyDescent="0.2">
      <c r="B47" s="2" t="s">
        <v>805</v>
      </c>
      <c r="F47" s="239" t="str">
        <f>setups!D16</f>
        <v>Oct 2024</v>
      </c>
      <c r="L47" s="94"/>
    </row>
    <row r="48" spans="2:25" ht="16.5" customHeight="1" x14ac:dyDescent="0.2">
      <c r="B48" s="2" t="s">
        <v>801</v>
      </c>
      <c r="F48" s="5">
        <v>2</v>
      </c>
      <c r="L48" s="94" t="str">
        <f>IF(OR(LEN(F48)=0,),"ERROR - Number of EHCPs MUST be completed - enter 0 (zero) if not applicable","")</f>
        <v/>
      </c>
    </row>
    <row r="49" spans="2:12" ht="16.5" customHeight="1" x14ac:dyDescent="0.2">
      <c r="B49" s="2" t="s">
        <v>802</v>
      </c>
      <c r="F49" s="5">
        <v>90</v>
      </c>
      <c r="L49" s="94" t="str">
        <f>IF(OR(LEN(F49)=0,),"ERROR - PAN at Key Stage 1 MUST be completed - enter 0 (zero) if not applicable","")</f>
        <v/>
      </c>
    </row>
    <row r="50" spans="2:12" ht="16.5" customHeight="1" x14ac:dyDescent="0.2">
      <c r="B50" s="2" t="s">
        <v>803</v>
      </c>
      <c r="F50" s="5">
        <v>120</v>
      </c>
      <c r="L50" s="94" t="str">
        <f>IF(OR(LEN(F50)=0,),"ERROR - PAN at Key Stage 2 MUST be completed - enter 0 (zero) if not applicable","")</f>
        <v/>
      </c>
    </row>
    <row r="51" spans="2:12" ht="23.45" customHeight="1" x14ac:dyDescent="0.2">
      <c r="B51" s="267"/>
      <c r="C51" s="267"/>
      <c r="D51" s="267"/>
      <c r="E51" s="267"/>
      <c r="L51" s="212"/>
    </row>
  </sheetData>
  <sheetProtection algorithmName="SHA-512" hashValue="MKpqm7O4UDYSJzJYxyBCgmImAur73wqmahuTAhUFSQbLIFNrQggHwRk/RmOIImsFTj0OiVZybrP3mypQ5P7tCw==" saltValue="LE/cQgD7ZIuk6I6ogOJiFw==" spinCount="100000" sheet="1" objects="1" scenarios="1"/>
  <mergeCells count="21">
    <mergeCell ref="B51:E51"/>
    <mergeCell ref="F4:M4"/>
    <mergeCell ref="L10:P10"/>
    <mergeCell ref="E10:F10"/>
    <mergeCell ref="E12:F12"/>
    <mergeCell ref="L12:P12"/>
    <mergeCell ref="G10:I10"/>
    <mergeCell ref="G12:I12"/>
    <mergeCell ref="E9:F9"/>
    <mergeCell ref="G9:I9"/>
    <mergeCell ref="L9:P9"/>
    <mergeCell ref="L5:N5"/>
    <mergeCell ref="P5:R5"/>
    <mergeCell ref="L6:N6"/>
    <mergeCell ref="P6:R6"/>
    <mergeCell ref="S9:T9"/>
    <mergeCell ref="B13:V13"/>
    <mergeCell ref="F14:J14"/>
    <mergeCell ref="E11:F11"/>
    <mergeCell ref="G11:I11"/>
    <mergeCell ref="L11:P11"/>
  </mergeCells>
  <conditionalFormatting sqref="F4">
    <cfRule type="containsText" dxfId="60" priority="28" operator="containsText" text="ERROR">
      <formula>NOT(ISERROR(SEARCH("ERROR",F4)))</formula>
    </cfRule>
  </conditionalFormatting>
  <conditionalFormatting sqref="F26 F34:F41 H26:H27 H35:H41">
    <cfRule type="containsBlanks" dxfId="59" priority="36">
      <formula>LEN(TRIM(F26))=0</formula>
    </cfRule>
  </conditionalFormatting>
  <conditionalFormatting sqref="F45 H45 F48:F50">
    <cfRule type="containsBlanks" dxfId="58" priority="11">
      <formula>LEN(TRIM(F45))=0</formula>
    </cfRule>
  </conditionalFormatting>
  <conditionalFormatting sqref="H17:H23">
    <cfRule type="containsBlanks" dxfId="57" priority="13">
      <formula>LEN(TRIM(H17))=0</formula>
    </cfRule>
  </conditionalFormatting>
  <conditionalFormatting sqref="J17:J23">
    <cfRule type="containsBlanks" dxfId="56" priority="12">
      <formula>LEN(TRIM(J17))=0</formula>
    </cfRule>
  </conditionalFormatting>
  <conditionalFormatting sqref="J26:J27">
    <cfRule type="containsBlanks" dxfId="55" priority="16">
      <formula>LEN(TRIM(J26))=0</formula>
    </cfRule>
  </conditionalFormatting>
  <conditionalFormatting sqref="J45">
    <cfRule type="containsBlanks" dxfId="54" priority="10">
      <formula>LEN(TRIM(J45))=0</formula>
    </cfRule>
  </conditionalFormatting>
  <conditionalFormatting sqref="P6:R6">
    <cfRule type="expression" dxfId="53" priority="17">
      <formula>$P$5&lt;&gt;"Other"</formula>
    </cfRule>
    <cfRule type="expression" dxfId="52" priority="18">
      <formula>P4="Other"</formula>
    </cfRule>
  </conditionalFormatting>
  <conditionalFormatting sqref="F17:F23">
    <cfRule type="containsBlanks" dxfId="51" priority="7">
      <formula>LEN(TRIM(F17))=0</formula>
    </cfRule>
  </conditionalFormatting>
  <conditionalFormatting sqref="F27:F33">
    <cfRule type="containsBlanks" dxfId="50" priority="6">
      <formula>LEN(TRIM(F27))=0</formula>
    </cfRule>
  </conditionalFormatting>
  <conditionalFormatting sqref="J35:J41">
    <cfRule type="containsBlanks" dxfId="49" priority="5">
      <formula>LEN(TRIM(J35))=0</formula>
    </cfRule>
  </conditionalFormatting>
  <conditionalFormatting sqref="H28:H34">
    <cfRule type="containsBlanks" dxfId="48" priority="3">
      <formula>LEN(TRIM(H28))=0</formula>
    </cfRule>
  </conditionalFormatting>
  <conditionalFormatting sqref="J28">
    <cfRule type="containsBlanks" dxfId="47" priority="2">
      <formula>LEN(TRIM(J28))=0</formula>
    </cfRule>
  </conditionalFormatting>
  <conditionalFormatting sqref="J29:J34">
    <cfRule type="containsBlanks" dxfId="46" priority="1">
      <formula>LEN(TRIM(J29))=0</formula>
    </cfRule>
  </conditionalFormatting>
  <dataValidations count="5">
    <dataValidation type="list" allowBlank="1" showInputMessage="1" showErrorMessage="1" sqref="R28" xr:uid="{00000000-0002-0000-0200-000000000000}">
      <formula1>"Yes,No"</formula1>
    </dataValidation>
    <dataValidation type="list" allowBlank="1" showInputMessage="1" showErrorMessage="1" sqref="D9:D12" xr:uid="{00000000-0002-0000-0200-000001000000}">
      <formula1>Title</formula1>
    </dataValidation>
    <dataValidation type="list" allowBlank="1" showInputMessage="1" showErrorMessage="1" sqref="P5:R5" xr:uid="{00000000-0002-0000-0200-000002000000}">
      <formula1>FINSUPP</formula1>
    </dataValidation>
    <dataValidation type="decimal" allowBlank="1" showInputMessage="1" showErrorMessage="1" errorTitle="FTE ERROR" error="FTE must be a positive number" sqref="F17:F23 H17:H23 J17:J23" xr:uid="{00000000-0002-0000-0200-000003000000}">
      <formula1>0</formula1>
      <formula2>2000</formula2>
    </dataValidation>
    <dataValidation type="whole" allowBlank="1" showInputMessage="1" showErrorMessage="1" errorTitle="NOR ERROR" error="NOR must be a postive whole number" sqref="F26:F41 H26:H41 J26:J41 H45:H47 J45:J47 J50:J51 H50:H51 F45:F46 F48:F51" xr:uid="{00000000-0002-0000-0200-000004000000}">
      <formula1>0</formula1>
      <formula2>2000</formula2>
    </dataValidation>
  </dataValidations>
  <pageMargins left="0.31496062992125984" right="0.15748031496062992" top="0.39370078740157483" bottom="0.43307086614173229" header="0.19685039370078741" footer="0.19685039370078741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Q252"/>
  <sheetViews>
    <sheetView zoomScaleNormal="100" workbookViewId="0">
      <pane xSplit="3" ySplit="7" topLeftCell="D95" activePane="bottomRight" state="frozen"/>
      <selection activeCell="B1" sqref="B1"/>
      <selection pane="topRight" activeCell="B1" sqref="B1"/>
      <selection pane="bottomLeft" activeCell="B1" sqref="B1"/>
      <selection pane="bottomRight" activeCell="P20" sqref="P20"/>
    </sheetView>
  </sheetViews>
  <sheetFormatPr defaultColWidth="9.140625" defaultRowHeight="12.75" x14ac:dyDescent="0.2"/>
  <cols>
    <col min="1" max="1" width="4.5703125" style="110" customWidth="1"/>
    <col min="2" max="2" width="6.7109375" style="1" customWidth="1"/>
    <col min="3" max="3" width="61.42578125" style="1" bestFit="1" customWidth="1"/>
    <col min="4" max="4" width="5.140625" style="1" customWidth="1"/>
    <col min="5" max="5" width="12.28515625" style="1" bestFit="1" customWidth="1"/>
    <col min="6" max="6" width="2.28515625" style="1" customWidth="1"/>
    <col min="7" max="7" width="11.28515625" style="1" bestFit="1" customWidth="1"/>
    <col min="8" max="8" width="2.5703125" style="1" customWidth="1"/>
    <col min="9" max="9" width="12.28515625" style="1" bestFit="1" customWidth="1"/>
    <col min="10" max="10" width="1.5703125" style="1" customWidth="1"/>
    <col min="11" max="11" width="9.140625" style="1"/>
    <col min="12" max="13" width="9.140625" style="1" hidden="1" customWidth="1"/>
    <col min="14" max="14" width="11.140625" style="1" hidden="1" customWidth="1"/>
    <col min="15" max="15" width="12.140625" style="1" hidden="1" customWidth="1"/>
    <col min="16" max="16" width="58.42578125" style="1" customWidth="1"/>
    <col min="17" max="17" width="6.28515625" style="1" hidden="1" customWidth="1"/>
    <col min="18" max="16384" width="9.140625" style="1"/>
  </cols>
  <sheetData>
    <row r="1" spans="1:17" ht="3.75" customHeight="1" thickBot="1" x14ac:dyDescent="0.25">
      <c r="I1" s="111"/>
      <c r="J1" s="111"/>
      <c r="K1" s="111"/>
    </row>
    <row r="2" spans="1:17" ht="18.600000000000001" customHeight="1" thickBot="1" x14ac:dyDescent="0.3">
      <c r="B2" s="9" t="str">
        <f>setups!D23</f>
        <v>Draft Budget Plan 2025-26 Financial Year</v>
      </c>
      <c r="F2" s="280" t="s">
        <v>469</v>
      </c>
      <c r="G2" s="281"/>
      <c r="H2" s="281"/>
      <c r="I2" s="282"/>
      <c r="L2" s="279"/>
      <c r="M2" s="279"/>
      <c r="N2" s="279"/>
      <c r="O2" s="279"/>
    </row>
    <row r="3" spans="1:17" ht="5.25" customHeight="1" x14ac:dyDescent="0.2"/>
    <row r="4" spans="1:17" ht="15" customHeight="1" x14ac:dyDescent="0.25">
      <c r="B4" s="256" t="str">
        <f>'School &amp; Other Info'!F4</f>
        <v>Nutfield Church CofE Primary School</v>
      </c>
      <c r="C4" s="256"/>
      <c r="D4" s="2" t="str">
        <f>'School &amp; Other Info'!F6</f>
        <v>ECFE8719</v>
      </c>
      <c r="G4" s="2" t="str">
        <f>'School &amp; Other Info'!H6</f>
        <v>VA</v>
      </c>
    </row>
    <row r="5" spans="1:17" ht="6.95" customHeight="1" x14ac:dyDescent="0.2">
      <c r="A5" s="278" t="s">
        <v>355</v>
      </c>
    </row>
    <row r="6" spans="1:17" ht="15.75" customHeight="1" x14ac:dyDescent="0.25">
      <c r="A6" s="278"/>
      <c r="B6" s="15" t="s">
        <v>556</v>
      </c>
    </row>
    <row r="7" spans="1:17" s="113" customFormat="1" ht="28.5" customHeight="1" x14ac:dyDescent="0.25">
      <c r="A7" s="278"/>
      <c r="B7" s="112"/>
      <c r="E7" s="114" t="s">
        <v>85</v>
      </c>
      <c r="F7" s="115"/>
      <c r="G7" s="114" t="s">
        <v>86</v>
      </c>
      <c r="I7" s="114" t="s">
        <v>69</v>
      </c>
      <c r="K7" s="114" t="s">
        <v>675</v>
      </c>
      <c r="P7" s="115" t="s">
        <v>533</v>
      </c>
      <c r="Q7" s="115" t="s">
        <v>555</v>
      </c>
    </row>
    <row r="8" spans="1:17" x14ac:dyDescent="0.2">
      <c r="A8" s="110">
        <v>1</v>
      </c>
      <c r="B8" s="8" t="s">
        <v>511</v>
      </c>
      <c r="C8" s="1" t="s">
        <v>78</v>
      </c>
      <c r="E8" s="12">
        <v>6000</v>
      </c>
      <c r="I8" s="116">
        <f>E8+G8</f>
        <v>6000</v>
      </c>
      <c r="L8" s="2"/>
      <c r="N8" s="4"/>
      <c r="O8" s="4"/>
      <c r="Q8" s="117">
        <f>IF(LEFT(P8,5)="ERROR",1,0)</f>
        <v>0</v>
      </c>
    </row>
    <row r="9" spans="1:17" x14ac:dyDescent="0.2">
      <c r="A9" s="110">
        <v>2</v>
      </c>
      <c r="B9" s="8" t="s">
        <v>541</v>
      </c>
      <c r="C9" s="1" t="s">
        <v>79</v>
      </c>
      <c r="E9" s="12">
        <v>67333</v>
      </c>
      <c r="I9" s="116">
        <f>E9+G9</f>
        <v>67333</v>
      </c>
      <c r="L9" s="2"/>
      <c r="N9" s="107"/>
      <c r="O9" s="107"/>
      <c r="Q9" s="117">
        <f>IF(LEFT(P9,5)="ERROR",1,0)</f>
        <v>0</v>
      </c>
    </row>
    <row r="10" spans="1:17" x14ac:dyDescent="0.2">
      <c r="A10" s="110">
        <v>3</v>
      </c>
      <c r="B10" s="8" t="s">
        <v>542</v>
      </c>
      <c r="C10" s="8" t="s">
        <v>819</v>
      </c>
      <c r="E10" s="12">
        <f>11628+16501</f>
        <v>28129</v>
      </c>
      <c r="F10" s="118"/>
      <c r="H10" s="2"/>
      <c r="I10" s="116">
        <f>E10+G10</f>
        <v>28129</v>
      </c>
      <c r="N10" s="123"/>
      <c r="O10" s="174"/>
      <c r="P10" s="1" t="str">
        <f>IF(E10&lt;&gt;0,"Subject to approval by LA - see Section P of Finance Manual","")</f>
        <v>Subject to approval by LA - see Section P of Finance Manual</v>
      </c>
      <c r="Q10" s="117">
        <f>IF(LEFT(P10,5)="ERROR",1,0)</f>
        <v>0</v>
      </c>
    </row>
    <row r="11" spans="1:17" ht="12.75" customHeight="1" thickBot="1" x14ac:dyDescent="0.25">
      <c r="B11" s="2" t="s">
        <v>549</v>
      </c>
      <c r="C11" s="119"/>
      <c r="E11" s="120">
        <f>SUM(E8:E10)</f>
        <v>101462</v>
      </c>
      <c r="G11" s="120">
        <f>SUM(G8:G10)</f>
        <v>0</v>
      </c>
      <c r="I11" s="120">
        <f>SUM(I8:I10)</f>
        <v>101462</v>
      </c>
      <c r="Q11" s="117">
        <f t="shared" ref="Q11:Q80" si="0">IF(LEFT(P11,5)="ERROR",1,0)</f>
        <v>0</v>
      </c>
    </row>
    <row r="12" spans="1:17" ht="21" customHeight="1" thickTop="1" x14ac:dyDescent="0.25">
      <c r="B12" s="15" t="s">
        <v>99</v>
      </c>
      <c r="Q12" s="117">
        <f t="shared" si="0"/>
        <v>0</v>
      </c>
    </row>
    <row r="13" spans="1:17" x14ac:dyDescent="0.2">
      <c r="B13" s="8"/>
      <c r="C13" s="2" t="s">
        <v>513</v>
      </c>
      <c r="E13" s="4" t="s">
        <v>85</v>
      </c>
      <c r="F13" s="2"/>
      <c r="G13" s="4" t="s">
        <v>86</v>
      </c>
      <c r="I13" s="4" t="s">
        <v>69</v>
      </c>
      <c r="Q13" s="117">
        <f t="shared" si="0"/>
        <v>0</v>
      </c>
    </row>
    <row r="14" spans="1:17" x14ac:dyDescent="0.2">
      <c r="A14" s="110">
        <v>4</v>
      </c>
      <c r="B14" s="8" t="s">
        <v>0</v>
      </c>
      <c r="C14" s="8" t="s">
        <v>514</v>
      </c>
      <c r="E14" s="12">
        <v>1071005</v>
      </c>
      <c r="I14" s="116">
        <f>E14+G14</f>
        <v>1071005</v>
      </c>
      <c r="Q14" s="117">
        <f t="shared" si="0"/>
        <v>0</v>
      </c>
    </row>
    <row r="15" spans="1:17" x14ac:dyDescent="0.2">
      <c r="A15" s="110">
        <v>5</v>
      </c>
      <c r="B15" s="8" t="s">
        <v>0</v>
      </c>
      <c r="C15" s="8" t="s">
        <v>515</v>
      </c>
      <c r="E15" s="12">
        <v>-17651</v>
      </c>
      <c r="F15" s="8"/>
      <c r="I15" s="116">
        <f t="shared" ref="I15:I31" si="1">E15+G15</f>
        <v>-17651</v>
      </c>
      <c r="P15" s="94" t="str">
        <f>IF(E15&gt;0,"ERROR - de-delegation &amp; central services levy MUST be negative","")</f>
        <v/>
      </c>
      <c r="Q15" s="117">
        <f t="shared" si="0"/>
        <v>0</v>
      </c>
    </row>
    <row r="16" spans="1:17" x14ac:dyDescent="0.2">
      <c r="A16" s="110">
        <v>6</v>
      </c>
      <c r="B16" s="8" t="s">
        <v>0</v>
      </c>
      <c r="C16" s="8" t="s">
        <v>689</v>
      </c>
      <c r="E16" s="12">
        <v>0</v>
      </c>
      <c r="I16" s="116">
        <f t="shared" si="1"/>
        <v>0</v>
      </c>
      <c r="P16" s="94"/>
      <c r="Q16" s="117">
        <f t="shared" si="0"/>
        <v>0</v>
      </c>
    </row>
    <row r="17" spans="1:17" x14ac:dyDescent="0.2">
      <c r="A17" s="110">
        <v>7</v>
      </c>
      <c r="B17" s="8" t="s">
        <v>0</v>
      </c>
      <c r="C17" s="8" t="s">
        <v>840</v>
      </c>
      <c r="E17" s="12">
        <v>21540</v>
      </c>
      <c r="I17" s="116">
        <f t="shared" si="1"/>
        <v>21540</v>
      </c>
      <c r="P17" s="94"/>
      <c r="Q17" s="117"/>
    </row>
    <row r="18" spans="1:17" x14ac:dyDescent="0.2">
      <c r="A18" s="110">
        <v>8</v>
      </c>
      <c r="B18" s="8" t="s">
        <v>0</v>
      </c>
      <c r="C18" s="8" t="s">
        <v>778</v>
      </c>
      <c r="E18" s="12">
        <v>0</v>
      </c>
      <c r="I18" s="116">
        <f t="shared" si="1"/>
        <v>0</v>
      </c>
      <c r="P18" s="94"/>
      <c r="Q18" s="117">
        <f t="shared" si="0"/>
        <v>0</v>
      </c>
    </row>
    <row r="19" spans="1:17" x14ac:dyDescent="0.2">
      <c r="A19" s="110">
        <v>9</v>
      </c>
      <c r="B19" s="8" t="s">
        <v>0</v>
      </c>
      <c r="C19" s="8" t="s">
        <v>80</v>
      </c>
      <c r="E19" s="12">
        <v>0</v>
      </c>
      <c r="I19" s="116">
        <f t="shared" si="1"/>
        <v>0</v>
      </c>
      <c r="P19" s="94"/>
      <c r="Q19" s="117">
        <f t="shared" si="0"/>
        <v>0</v>
      </c>
    </row>
    <row r="20" spans="1:17" x14ac:dyDescent="0.2">
      <c r="A20" s="110">
        <v>10</v>
      </c>
      <c r="B20" s="8" t="s">
        <v>0</v>
      </c>
      <c r="C20" s="8" t="s">
        <v>530</v>
      </c>
      <c r="E20" s="12">
        <v>0</v>
      </c>
      <c r="I20" s="116">
        <f t="shared" si="1"/>
        <v>0</v>
      </c>
      <c r="P20" s="94"/>
      <c r="Q20" s="117">
        <f t="shared" si="0"/>
        <v>0</v>
      </c>
    </row>
    <row r="21" spans="1:17" x14ac:dyDescent="0.2">
      <c r="A21" s="110">
        <v>11</v>
      </c>
      <c r="B21" s="8" t="s">
        <v>0</v>
      </c>
      <c r="C21" s="8" t="s">
        <v>81</v>
      </c>
      <c r="E21" s="12">
        <v>0</v>
      </c>
      <c r="I21" s="116">
        <f t="shared" si="1"/>
        <v>0</v>
      </c>
      <c r="P21" s="94"/>
      <c r="Q21" s="117">
        <f t="shared" si="0"/>
        <v>0</v>
      </c>
    </row>
    <row r="22" spans="1:17" x14ac:dyDescent="0.2">
      <c r="A22" s="110">
        <v>12</v>
      </c>
      <c r="B22" s="8" t="s">
        <v>0</v>
      </c>
      <c r="C22" s="1" t="s">
        <v>520</v>
      </c>
      <c r="E22" s="12">
        <v>0</v>
      </c>
      <c r="I22" s="116">
        <f t="shared" si="1"/>
        <v>0</v>
      </c>
      <c r="P22" s="94"/>
      <c r="Q22" s="117">
        <f t="shared" si="0"/>
        <v>0</v>
      </c>
    </row>
    <row r="23" spans="1:17" x14ac:dyDescent="0.2">
      <c r="A23" s="110">
        <v>13</v>
      </c>
      <c r="B23" s="8" t="s">
        <v>0</v>
      </c>
      <c r="C23" s="8" t="s">
        <v>516</v>
      </c>
      <c r="E23" s="12">
        <v>0</v>
      </c>
      <c r="I23" s="116">
        <f t="shared" si="1"/>
        <v>0</v>
      </c>
      <c r="P23" s="94"/>
      <c r="Q23" s="117">
        <f t="shared" si="0"/>
        <v>0</v>
      </c>
    </row>
    <row r="24" spans="1:17" x14ac:dyDescent="0.2">
      <c r="A24" s="110">
        <v>14</v>
      </c>
      <c r="B24" s="8" t="s">
        <v>0</v>
      </c>
      <c r="C24" s="8" t="s">
        <v>491</v>
      </c>
      <c r="E24" s="12">
        <v>0</v>
      </c>
      <c r="I24" s="116">
        <f t="shared" si="1"/>
        <v>0</v>
      </c>
      <c r="P24" s="94"/>
      <c r="Q24" s="117">
        <f t="shared" si="0"/>
        <v>0</v>
      </c>
    </row>
    <row r="25" spans="1:17" x14ac:dyDescent="0.2">
      <c r="A25" s="110">
        <v>15</v>
      </c>
      <c r="B25" s="8" t="s">
        <v>0</v>
      </c>
      <c r="C25" s="8" t="s">
        <v>517</v>
      </c>
      <c r="E25" s="12">
        <v>0</v>
      </c>
      <c r="I25" s="116">
        <f t="shared" si="1"/>
        <v>0</v>
      </c>
      <c r="P25" s="94" t="str">
        <f>IF(E25&gt;0,"ERROR - Prior Year adjustment can only be negative","")</f>
        <v/>
      </c>
      <c r="Q25" s="117">
        <f t="shared" si="0"/>
        <v>0</v>
      </c>
    </row>
    <row r="26" spans="1:17" x14ac:dyDescent="0.2">
      <c r="A26" s="110">
        <v>16</v>
      </c>
      <c r="B26" s="8" t="s">
        <v>0</v>
      </c>
      <c r="C26" s="8" t="s">
        <v>518</v>
      </c>
      <c r="E26" s="12">
        <v>0</v>
      </c>
      <c r="I26" s="116">
        <f t="shared" si="1"/>
        <v>0</v>
      </c>
      <c r="P26" s="94" t="str">
        <f>IF(E26&gt;0,"ERROR - Loan Repayment MUST be negative","")</f>
        <v/>
      </c>
      <c r="Q26" s="117">
        <f t="shared" si="0"/>
        <v>0</v>
      </c>
    </row>
    <row r="27" spans="1:17" x14ac:dyDescent="0.2">
      <c r="A27" s="110">
        <v>17</v>
      </c>
      <c r="B27" s="8" t="s">
        <v>0</v>
      </c>
      <c r="C27" s="8" t="s">
        <v>841</v>
      </c>
      <c r="E27" s="12">
        <v>0</v>
      </c>
      <c r="I27" s="116">
        <f>E27+G27</f>
        <v>0</v>
      </c>
      <c r="P27" s="94"/>
      <c r="Q27" s="117"/>
    </row>
    <row r="28" spans="1:17" x14ac:dyDescent="0.2">
      <c r="A28" s="110">
        <v>18</v>
      </c>
      <c r="B28" s="8" t="s">
        <v>0</v>
      </c>
      <c r="C28" s="8" t="s">
        <v>818</v>
      </c>
      <c r="E28" s="12">
        <v>0</v>
      </c>
      <c r="I28" s="116">
        <f t="shared" si="1"/>
        <v>0</v>
      </c>
      <c r="P28" s="94"/>
      <c r="Q28" s="117"/>
    </row>
    <row r="29" spans="1:17" x14ac:dyDescent="0.2">
      <c r="A29" s="110">
        <v>19</v>
      </c>
      <c r="B29" s="8" t="s">
        <v>0</v>
      </c>
      <c r="C29" s="8" t="s">
        <v>738</v>
      </c>
      <c r="G29" s="12">
        <v>0</v>
      </c>
      <c r="I29" s="116">
        <f t="shared" si="1"/>
        <v>0</v>
      </c>
      <c r="P29" s="94"/>
      <c r="Q29" s="117"/>
    </row>
    <row r="30" spans="1:17" x14ac:dyDescent="0.2">
      <c r="A30" s="110">
        <v>20</v>
      </c>
      <c r="B30" s="8" t="s">
        <v>0</v>
      </c>
      <c r="C30" s="227" t="s">
        <v>842</v>
      </c>
      <c r="E30" s="12">
        <v>0</v>
      </c>
      <c r="I30" s="116">
        <f t="shared" si="1"/>
        <v>0</v>
      </c>
      <c r="P30" s="94"/>
      <c r="Q30" s="117"/>
    </row>
    <row r="31" spans="1:17" x14ac:dyDescent="0.2">
      <c r="A31" s="110">
        <v>21</v>
      </c>
      <c r="B31" s="8" t="s">
        <v>0</v>
      </c>
      <c r="C31" s="244"/>
      <c r="E31" s="12"/>
      <c r="I31" s="116">
        <f t="shared" si="1"/>
        <v>0</v>
      </c>
      <c r="P31" s="94"/>
      <c r="Q31" s="117">
        <f t="shared" si="0"/>
        <v>0</v>
      </c>
    </row>
    <row r="32" spans="1:17" x14ac:dyDescent="0.2">
      <c r="A32" s="110" t="s">
        <v>309</v>
      </c>
      <c r="B32" s="2"/>
      <c r="C32" s="2" t="s">
        <v>741</v>
      </c>
      <c r="E32" s="121">
        <f>SUM(E14:E31)</f>
        <v>1074894</v>
      </c>
      <c r="G32" s="121">
        <f>SUM(G14:G31)</f>
        <v>0</v>
      </c>
      <c r="I32" s="121">
        <f>SUM(I14:I31)</f>
        <v>1074894</v>
      </c>
      <c r="P32" s="94"/>
      <c r="Q32" s="117">
        <f t="shared" si="0"/>
        <v>0</v>
      </c>
    </row>
    <row r="33" spans="1:17" ht="6" customHeight="1" x14ac:dyDescent="0.2">
      <c r="A33" s="110" t="s">
        <v>309</v>
      </c>
      <c r="P33" s="94"/>
      <c r="Q33" s="117">
        <f t="shared" si="0"/>
        <v>0</v>
      </c>
    </row>
    <row r="34" spans="1:17" x14ac:dyDescent="0.2">
      <c r="A34" s="110" t="s">
        <v>309</v>
      </c>
      <c r="B34" s="10"/>
      <c r="C34" s="2" t="s">
        <v>82</v>
      </c>
      <c r="P34" s="94"/>
      <c r="Q34" s="117">
        <f t="shared" si="0"/>
        <v>0</v>
      </c>
    </row>
    <row r="35" spans="1:17" x14ac:dyDescent="0.2">
      <c r="A35" s="110">
        <v>22</v>
      </c>
      <c r="B35" s="8" t="s">
        <v>1</v>
      </c>
      <c r="C35" s="8" t="s">
        <v>521</v>
      </c>
      <c r="E35" s="12">
        <v>0</v>
      </c>
      <c r="I35" s="116">
        <f>E35+G35</f>
        <v>0</v>
      </c>
      <c r="P35" s="94"/>
      <c r="Q35" s="117">
        <f t="shared" si="0"/>
        <v>0</v>
      </c>
    </row>
    <row r="36" spans="1:17" x14ac:dyDescent="0.2">
      <c r="A36" s="110">
        <v>23</v>
      </c>
      <c r="B36" s="8" t="s">
        <v>1</v>
      </c>
      <c r="C36" s="95" t="s">
        <v>522</v>
      </c>
      <c r="E36" s="12">
        <v>0</v>
      </c>
      <c r="I36" s="116">
        <f>E36+G36</f>
        <v>0</v>
      </c>
      <c r="P36" s="94"/>
      <c r="Q36" s="117">
        <f t="shared" si="0"/>
        <v>0</v>
      </c>
    </row>
    <row r="37" spans="1:17" x14ac:dyDescent="0.2">
      <c r="A37" s="110" t="s">
        <v>309</v>
      </c>
      <c r="B37" s="2"/>
      <c r="C37" s="2" t="s">
        <v>742</v>
      </c>
      <c r="E37" s="121">
        <f>SUM(E35:E36)</f>
        <v>0</v>
      </c>
      <c r="G37" s="121">
        <f>SUM(G35:G36)</f>
        <v>0</v>
      </c>
      <c r="I37" s="121">
        <f>SUM(I35:I36)</f>
        <v>0</v>
      </c>
      <c r="P37" s="94"/>
      <c r="Q37" s="117">
        <f t="shared" si="0"/>
        <v>0</v>
      </c>
    </row>
    <row r="38" spans="1:17" ht="6" customHeight="1" x14ac:dyDescent="0.2">
      <c r="A38" s="110" t="s">
        <v>309</v>
      </c>
      <c r="P38" s="94"/>
      <c r="Q38" s="117">
        <f t="shared" si="0"/>
        <v>0</v>
      </c>
    </row>
    <row r="39" spans="1:17" x14ac:dyDescent="0.2">
      <c r="A39" s="110" t="s">
        <v>309</v>
      </c>
      <c r="B39" s="10"/>
      <c r="C39" s="2" t="s">
        <v>83</v>
      </c>
      <c r="P39" s="94"/>
      <c r="Q39" s="117">
        <f t="shared" si="0"/>
        <v>0</v>
      </c>
    </row>
    <row r="40" spans="1:17" x14ac:dyDescent="0.2">
      <c r="A40" s="110">
        <v>24</v>
      </c>
      <c r="B40" s="8" t="s">
        <v>2</v>
      </c>
      <c r="C40" s="8" t="s">
        <v>525</v>
      </c>
      <c r="E40" s="12">
        <v>0</v>
      </c>
      <c r="I40" s="116">
        <f>E40+G40</f>
        <v>0</v>
      </c>
      <c r="P40" s="94"/>
      <c r="Q40" s="117">
        <f t="shared" si="0"/>
        <v>0</v>
      </c>
    </row>
    <row r="41" spans="1:17" x14ac:dyDescent="0.2">
      <c r="A41" s="110">
        <v>25</v>
      </c>
      <c r="B41" s="8" t="s">
        <v>2</v>
      </c>
      <c r="C41" s="8" t="s">
        <v>690</v>
      </c>
      <c r="E41" s="12">
        <v>22046</v>
      </c>
      <c r="I41" s="116">
        <f>E41+G41</f>
        <v>22046</v>
      </c>
      <c r="P41" s="94"/>
      <c r="Q41" s="117">
        <f t="shared" si="0"/>
        <v>0</v>
      </c>
    </row>
    <row r="42" spans="1:17" x14ac:dyDescent="0.2">
      <c r="A42" s="110">
        <v>26</v>
      </c>
      <c r="B42" s="8" t="s">
        <v>2</v>
      </c>
      <c r="C42" s="95" t="s">
        <v>523</v>
      </c>
      <c r="E42" s="12"/>
      <c r="I42" s="116">
        <f>E42+G42</f>
        <v>0</v>
      </c>
      <c r="L42" s="2"/>
      <c r="N42" s="4"/>
      <c r="O42" s="4"/>
      <c r="P42" s="94"/>
      <c r="Q42" s="117">
        <f t="shared" si="0"/>
        <v>0</v>
      </c>
    </row>
    <row r="43" spans="1:17" x14ac:dyDescent="0.2">
      <c r="A43" s="110">
        <v>27</v>
      </c>
      <c r="B43" s="8" t="s">
        <v>2</v>
      </c>
      <c r="C43" s="8" t="s">
        <v>87</v>
      </c>
      <c r="G43" s="11">
        <v>0</v>
      </c>
      <c r="I43" s="116">
        <f>E43+G43</f>
        <v>0</v>
      </c>
      <c r="L43" s="122"/>
      <c r="N43" s="107"/>
      <c r="O43" s="107"/>
      <c r="P43" s="94"/>
      <c r="Q43" s="117">
        <f t="shared" si="0"/>
        <v>0</v>
      </c>
    </row>
    <row r="44" spans="1:17" x14ac:dyDescent="0.2">
      <c r="A44" s="110" t="s">
        <v>309</v>
      </c>
      <c r="B44" s="2"/>
      <c r="C44" s="2" t="s">
        <v>743</v>
      </c>
      <c r="E44" s="121">
        <f>SUM(E40:E43)</f>
        <v>22046</v>
      </c>
      <c r="G44" s="121">
        <f>SUM(G40:G43)</f>
        <v>0</v>
      </c>
      <c r="I44" s="121">
        <f>SUM(I40:I43)</f>
        <v>22046</v>
      </c>
      <c r="N44" s="123"/>
      <c r="O44" s="174"/>
      <c r="P44" s="94"/>
      <c r="Q44" s="117">
        <f t="shared" si="0"/>
        <v>0</v>
      </c>
    </row>
    <row r="45" spans="1:17" ht="6" customHeight="1" x14ac:dyDescent="0.2">
      <c r="A45" s="110" t="s">
        <v>309</v>
      </c>
      <c r="P45" s="94"/>
      <c r="Q45" s="117">
        <f t="shared" si="0"/>
        <v>0</v>
      </c>
    </row>
    <row r="46" spans="1:17" ht="12.95" customHeight="1" x14ac:dyDescent="0.2">
      <c r="C46" s="2" t="s">
        <v>566</v>
      </c>
      <c r="P46" s="94"/>
      <c r="Q46" s="117"/>
    </row>
    <row r="47" spans="1:17" x14ac:dyDescent="0.2">
      <c r="A47" s="110">
        <v>28</v>
      </c>
      <c r="B47" s="8" t="s">
        <v>565</v>
      </c>
      <c r="C47" s="8" t="s">
        <v>793</v>
      </c>
      <c r="E47" s="12">
        <v>0</v>
      </c>
      <c r="I47" s="116">
        <f>E47+G47</f>
        <v>0</v>
      </c>
      <c r="L47" s="2"/>
      <c r="N47" s="4"/>
      <c r="O47" s="4"/>
      <c r="P47" s="94"/>
      <c r="Q47" s="117">
        <f t="shared" ref="Q47:Q49" si="2">IF(LEFT(P47,5)="ERROR",1,0)</f>
        <v>0</v>
      </c>
    </row>
    <row r="48" spans="1:17" x14ac:dyDescent="0.2">
      <c r="A48" s="110">
        <v>29</v>
      </c>
      <c r="B48" s="8" t="s">
        <v>565</v>
      </c>
      <c r="C48" s="8" t="s">
        <v>795</v>
      </c>
      <c r="G48" s="11">
        <v>0</v>
      </c>
      <c r="I48" s="116">
        <f>E48+G48</f>
        <v>0</v>
      </c>
      <c r="N48" s="107"/>
      <c r="O48" s="107"/>
      <c r="P48" s="94"/>
      <c r="Q48" s="117">
        <f t="shared" si="2"/>
        <v>0</v>
      </c>
    </row>
    <row r="49" spans="1:17" x14ac:dyDescent="0.2">
      <c r="A49" s="110" t="s">
        <v>309</v>
      </c>
      <c r="B49" s="2"/>
      <c r="C49" s="2" t="s">
        <v>794</v>
      </c>
      <c r="E49" s="121">
        <f>E47</f>
        <v>0</v>
      </c>
      <c r="G49" s="121">
        <f>G48</f>
        <v>0</v>
      </c>
      <c r="I49" s="121">
        <f>SUM(I47:I48)</f>
        <v>0</v>
      </c>
      <c r="N49" s="123"/>
      <c r="O49" s="174"/>
      <c r="P49" s="94"/>
      <c r="Q49" s="117">
        <f t="shared" si="2"/>
        <v>0</v>
      </c>
    </row>
    <row r="50" spans="1:17" ht="6" customHeight="1" x14ac:dyDescent="0.2">
      <c r="B50" s="2"/>
      <c r="C50" s="2"/>
      <c r="E50" s="123"/>
      <c r="G50" s="123"/>
      <c r="I50" s="123"/>
      <c r="N50" s="123"/>
      <c r="O50" s="174"/>
      <c r="P50" s="94"/>
      <c r="Q50" s="117"/>
    </row>
    <row r="51" spans="1:17" x14ac:dyDescent="0.2">
      <c r="A51" s="110" t="s">
        <v>309</v>
      </c>
      <c r="B51" s="10"/>
      <c r="C51" s="2" t="s">
        <v>84</v>
      </c>
      <c r="P51" s="94"/>
      <c r="Q51" s="117">
        <f t="shared" si="0"/>
        <v>0</v>
      </c>
    </row>
    <row r="52" spans="1:17" x14ac:dyDescent="0.2">
      <c r="A52" s="110">
        <v>30</v>
      </c>
      <c r="B52" s="8" t="s">
        <v>70</v>
      </c>
      <c r="C52" s="8" t="s">
        <v>526</v>
      </c>
      <c r="E52" s="12">
        <v>26640</v>
      </c>
      <c r="I52" s="116">
        <f>E52+G52</f>
        <v>26640</v>
      </c>
      <c r="L52" s="2"/>
      <c r="N52" s="4"/>
      <c r="O52" s="4"/>
      <c r="P52" s="94"/>
      <c r="Q52" s="117">
        <f t="shared" si="0"/>
        <v>0</v>
      </c>
    </row>
    <row r="53" spans="1:17" x14ac:dyDescent="0.2">
      <c r="A53" s="110">
        <v>31</v>
      </c>
      <c r="B53" s="8" t="s">
        <v>70</v>
      </c>
      <c r="C53" s="8" t="s">
        <v>531</v>
      </c>
      <c r="E53" s="12">
        <v>5140</v>
      </c>
      <c r="I53" s="116">
        <f>E53+G53</f>
        <v>5140</v>
      </c>
      <c r="L53" s="2"/>
      <c r="N53" s="4"/>
      <c r="O53" s="4"/>
      <c r="P53" s="94"/>
      <c r="Q53" s="117">
        <f t="shared" si="0"/>
        <v>0</v>
      </c>
    </row>
    <row r="54" spans="1:17" x14ac:dyDescent="0.2">
      <c r="A54" s="110">
        <v>32</v>
      </c>
      <c r="B54" s="8" t="s">
        <v>70</v>
      </c>
      <c r="C54" s="8" t="s">
        <v>527</v>
      </c>
      <c r="E54" s="12"/>
      <c r="I54" s="116">
        <f>E54+G54</f>
        <v>0</v>
      </c>
      <c r="L54" s="2"/>
      <c r="N54" s="4"/>
      <c r="O54" s="4"/>
      <c r="P54" s="94"/>
      <c r="Q54" s="117">
        <f t="shared" si="0"/>
        <v>0</v>
      </c>
    </row>
    <row r="55" spans="1:17" x14ac:dyDescent="0.2">
      <c r="A55" s="110">
        <v>33</v>
      </c>
      <c r="B55" s="8" t="s">
        <v>70</v>
      </c>
      <c r="C55" s="8" t="s">
        <v>528</v>
      </c>
      <c r="E55" s="12">
        <v>0</v>
      </c>
      <c r="I55" s="116">
        <f>E55+G55</f>
        <v>0</v>
      </c>
      <c r="L55" s="2"/>
      <c r="N55" s="4"/>
      <c r="O55" s="4"/>
      <c r="P55" s="94"/>
      <c r="Q55" s="117">
        <f t="shared" si="0"/>
        <v>0</v>
      </c>
    </row>
    <row r="56" spans="1:17" x14ac:dyDescent="0.2">
      <c r="A56" s="110">
        <v>34</v>
      </c>
      <c r="B56" s="8" t="s">
        <v>70</v>
      </c>
      <c r="C56" s="8" t="s">
        <v>529</v>
      </c>
      <c r="G56" s="11">
        <v>0</v>
      </c>
      <c r="I56" s="116">
        <f>E56+G56</f>
        <v>0</v>
      </c>
      <c r="N56" s="107"/>
      <c r="O56" s="107"/>
      <c r="P56" s="94"/>
      <c r="Q56" s="117">
        <f t="shared" si="0"/>
        <v>0</v>
      </c>
    </row>
    <row r="57" spans="1:17" x14ac:dyDescent="0.2">
      <c r="A57" s="110" t="s">
        <v>309</v>
      </c>
      <c r="B57" s="2"/>
      <c r="C57" s="2" t="s">
        <v>744</v>
      </c>
      <c r="E57" s="121">
        <f>SUM(E52:E56)</f>
        <v>31780</v>
      </c>
      <c r="G57" s="121">
        <f>SUM(G52:G56)</f>
        <v>0</v>
      </c>
      <c r="I57" s="121">
        <f>SUM(I52:I56)</f>
        <v>31780</v>
      </c>
      <c r="N57" s="123"/>
      <c r="O57" s="174"/>
      <c r="P57" s="94"/>
      <c r="Q57" s="117">
        <f t="shared" si="0"/>
        <v>0</v>
      </c>
    </row>
    <row r="58" spans="1:17" ht="6" customHeight="1" x14ac:dyDescent="0.2">
      <c r="A58" s="110" t="s">
        <v>309</v>
      </c>
      <c r="P58" s="94"/>
      <c r="Q58" s="117">
        <f t="shared" si="0"/>
        <v>0</v>
      </c>
    </row>
    <row r="59" spans="1:17" x14ac:dyDescent="0.2">
      <c r="A59" s="110" t="s">
        <v>309</v>
      </c>
      <c r="B59" s="10"/>
      <c r="C59" s="2" t="s">
        <v>88</v>
      </c>
      <c r="P59" s="94"/>
      <c r="Q59" s="117">
        <f t="shared" si="0"/>
        <v>0</v>
      </c>
    </row>
    <row r="60" spans="1:17" x14ac:dyDescent="0.2">
      <c r="A60" s="110">
        <v>35</v>
      </c>
      <c r="B60" s="8" t="s">
        <v>3</v>
      </c>
      <c r="C60" s="8" t="s">
        <v>735</v>
      </c>
      <c r="E60" s="12"/>
      <c r="I60" s="116">
        <f>E60+G60</f>
        <v>0</v>
      </c>
      <c r="L60" s="2"/>
      <c r="N60" s="4"/>
      <c r="O60" s="4"/>
      <c r="P60" s="94"/>
      <c r="Q60" s="117">
        <f t="shared" si="0"/>
        <v>0</v>
      </c>
    </row>
    <row r="61" spans="1:17" x14ac:dyDescent="0.2">
      <c r="A61" s="110">
        <v>36</v>
      </c>
      <c r="B61" s="8" t="s">
        <v>3</v>
      </c>
      <c r="C61" s="8" t="s">
        <v>89</v>
      </c>
      <c r="G61" s="11">
        <v>0</v>
      </c>
      <c r="I61" s="116">
        <f>E61+G61</f>
        <v>0</v>
      </c>
      <c r="N61" s="107"/>
      <c r="O61" s="107"/>
      <c r="P61" s="94"/>
      <c r="Q61" s="117">
        <f t="shared" si="0"/>
        <v>0</v>
      </c>
    </row>
    <row r="62" spans="1:17" x14ac:dyDescent="0.2">
      <c r="A62" s="110" t="s">
        <v>309</v>
      </c>
      <c r="B62" s="2"/>
      <c r="C62" s="2" t="s">
        <v>745</v>
      </c>
      <c r="E62" s="121">
        <f>SUM(E60:E61)</f>
        <v>0</v>
      </c>
      <c r="G62" s="121">
        <f>SUM(G60:G61)</f>
        <v>0</v>
      </c>
      <c r="I62" s="121">
        <f>SUM(I60:I61)</f>
        <v>0</v>
      </c>
      <c r="O62" s="123"/>
      <c r="P62" s="94"/>
      <c r="Q62" s="117">
        <f t="shared" si="0"/>
        <v>0</v>
      </c>
    </row>
    <row r="63" spans="1:17" ht="6" customHeight="1" x14ac:dyDescent="0.2">
      <c r="A63" s="110" t="s">
        <v>309</v>
      </c>
      <c r="O63" s="123"/>
      <c r="P63" s="94"/>
      <c r="Q63" s="117">
        <f t="shared" si="0"/>
        <v>0</v>
      </c>
    </row>
    <row r="64" spans="1:17" x14ac:dyDescent="0.2">
      <c r="A64" s="110">
        <v>37</v>
      </c>
      <c r="B64" s="8" t="s">
        <v>4</v>
      </c>
      <c r="C64" s="2" t="s">
        <v>746</v>
      </c>
      <c r="E64" s="12"/>
      <c r="G64" s="11">
        <v>0</v>
      </c>
      <c r="I64" s="121">
        <f>E64+G64</f>
        <v>0</v>
      </c>
      <c r="O64" s="123"/>
      <c r="P64" s="94"/>
      <c r="Q64" s="117">
        <f t="shared" si="0"/>
        <v>0</v>
      </c>
    </row>
    <row r="65" spans="1:17" ht="20.45" customHeight="1" x14ac:dyDescent="0.2">
      <c r="A65" s="110" t="s">
        <v>309</v>
      </c>
      <c r="C65" s="2" t="s">
        <v>734</v>
      </c>
      <c r="O65" s="123"/>
      <c r="P65" s="94"/>
      <c r="Q65" s="117">
        <f t="shared" si="0"/>
        <v>0</v>
      </c>
    </row>
    <row r="66" spans="1:17" x14ac:dyDescent="0.2">
      <c r="A66" s="110">
        <v>38</v>
      </c>
      <c r="B66" s="8" t="s">
        <v>535</v>
      </c>
      <c r="C66" s="8" t="s">
        <v>536</v>
      </c>
      <c r="G66" s="11">
        <v>0</v>
      </c>
      <c r="I66" s="123">
        <f>E66+G66</f>
        <v>0</v>
      </c>
      <c r="O66" s="123"/>
      <c r="P66" s="94"/>
      <c r="Q66" s="117">
        <f t="shared" si="0"/>
        <v>0</v>
      </c>
    </row>
    <row r="67" spans="1:17" x14ac:dyDescent="0.2">
      <c r="A67" s="110">
        <v>39</v>
      </c>
      <c r="B67" s="8" t="s">
        <v>534</v>
      </c>
      <c r="C67" s="8" t="s">
        <v>537</v>
      </c>
      <c r="E67" s="12">
        <v>0</v>
      </c>
      <c r="I67" s="123">
        <f>E67+G67</f>
        <v>0</v>
      </c>
      <c r="O67" s="123"/>
      <c r="P67" s="94"/>
      <c r="Q67" s="117">
        <f t="shared" si="0"/>
        <v>0</v>
      </c>
    </row>
    <row r="68" spans="1:17" x14ac:dyDescent="0.2">
      <c r="A68" s="110">
        <v>40</v>
      </c>
      <c r="B68" s="8" t="s">
        <v>534</v>
      </c>
      <c r="C68" s="95" t="s">
        <v>855</v>
      </c>
      <c r="E68" s="12">
        <v>2840</v>
      </c>
      <c r="I68" s="123">
        <f>E68+G68</f>
        <v>2840</v>
      </c>
      <c r="O68" s="123"/>
      <c r="P68" s="94"/>
      <c r="Q68" s="117">
        <f t="shared" si="0"/>
        <v>0</v>
      </c>
    </row>
    <row r="69" spans="1:17" x14ac:dyDescent="0.2">
      <c r="A69" s="110">
        <v>41</v>
      </c>
      <c r="B69" s="8" t="s">
        <v>534</v>
      </c>
      <c r="C69" s="95" t="s">
        <v>538</v>
      </c>
      <c r="E69" s="124"/>
      <c r="G69" s="11"/>
      <c r="I69" s="123">
        <f>E69+G69</f>
        <v>0</v>
      </c>
      <c r="O69" s="123"/>
      <c r="P69" s="94"/>
      <c r="Q69" s="117">
        <f t="shared" si="0"/>
        <v>0</v>
      </c>
    </row>
    <row r="70" spans="1:17" x14ac:dyDescent="0.2">
      <c r="A70" s="110" t="s">
        <v>309</v>
      </c>
      <c r="B70" s="2"/>
      <c r="C70" s="2" t="s">
        <v>747</v>
      </c>
      <c r="E70" s="121">
        <f>SUM(E67:E69)</f>
        <v>2840</v>
      </c>
      <c r="G70" s="121">
        <f>SUM(G66:G69)</f>
        <v>0</v>
      </c>
      <c r="I70" s="121">
        <f>SUM(I66:I69)</f>
        <v>2840</v>
      </c>
      <c r="O70" s="123"/>
      <c r="P70" s="94"/>
      <c r="Q70" s="117">
        <f t="shared" si="0"/>
        <v>0</v>
      </c>
    </row>
    <row r="71" spans="1:17" ht="6" customHeight="1" x14ac:dyDescent="0.2">
      <c r="A71" s="110" t="s">
        <v>309</v>
      </c>
      <c r="O71" s="123"/>
      <c r="P71" s="94"/>
      <c r="Q71" s="117">
        <f t="shared" si="0"/>
        <v>0</v>
      </c>
    </row>
    <row r="72" spans="1:17" x14ac:dyDescent="0.2">
      <c r="A72" s="110">
        <v>42</v>
      </c>
      <c r="B72" s="8" t="s">
        <v>5</v>
      </c>
      <c r="C72" s="2" t="s">
        <v>91</v>
      </c>
      <c r="E72" s="11">
        <v>0</v>
      </c>
      <c r="G72" s="11"/>
      <c r="I72" s="123">
        <f t="shared" ref="I72:I77" si="3">E72+G72</f>
        <v>0</v>
      </c>
      <c r="O72" s="123"/>
      <c r="P72" s="94"/>
      <c r="Q72" s="117">
        <f t="shared" si="0"/>
        <v>0</v>
      </c>
    </row>
    <row r="73" spans="1:17" x14ac:dyDescent="0.2">
      <c r="A73" s="110">
        <v>43</v>
      </c>
      <c r="B73" s="8" t="s">
        <v>6</v>
      </c>
      <c r="C73" s="2" t="s">
        <v>98</v>
      </c>
      <c r="E73" s="11">
        <v>16830</v>
      </c>
      <c r="G73" s="11"/>
      <c r="I73" s="123">
        <f t="shared" si="3"/>
        <v>16830</v>
      </c>
      <c r="O73" s="123"/>
      <c r="P73" s="94"/>
      <c r="Q73" s="117">
        <f t="shared" si="0"/>
        <v>0</v>
      </c>
    </row>
    <row r="74" spans="1:17" x14ac:dyDescent="0.2">
      <c r="A74" s="110">
        <v>44</v>
      </c>
      <c r="B74" s="8" t="s">
        <v>7</v>
      </c>
      <c r="C74" s="2" t="s">
        <v>10</v>
      </c>
      <c r="E74" s="11">
        <v>0</v>
      </c>
      <c r="G74" s="11"/>
      <c r="I74" s="123">
        <f t="shared" si="3"/>
        <v>0</v>
      </c>
      <c r="O74" s="123"/>
      <c r="P74" s="94"/>
      <c r="Q74" s="117">
        <f t="shared" si="0"/>
        <v>0</v>
      </c>
    </row>
    <row r="75" spans="1:17" x14ac:dyDescent="0.2">
      <c r="A75" s="110">
        <v>45</v>
      </c>
      <c r="B75" s="8" t="s">
        <v>8</v>
      </c>
      <c r="C75" s="2" t="s">
        <v>92</v>
      </c>
      <c r="E75" s="11">
        <v>0</v>
      </c>
      <c r="G75" s="11">
        <v>3800</v>
      </c>
      <c r="I75" s="123">
        <f t="shared" si="3"/>
        <v>3800</v>
      </c>
      <c r="L75" s="8"/>
      <c r="O75" s="123"/>
      <c r="P75" s="94"/>
      <c r="Q75" s="117">
        <f t="shared" si="0"/>
        <v>0</v>
      </c>
    </row>
    <row r="76" spans="1:17" x14ac:dyDescent="0.2">
      <c r="A76" s="110">
        <v>46</v>
      </c>
      <c r="B76" s="8" t="s">
        <v>9</v>
      </c>
      <c r="C76" s="2" t="s">
        <v>93</v>
      </c>
      <c r="E76" s="11">
        <v>0</v>
      </c>
      <c r="G76" s="11">
        <v>3000</v>
      </c>
      <c r="I76" s="123">
        <f t="shared" si="3"/>
        <v>3000</v>
      </c>
      <c r="O76" s="123"/>
      <c r="P76" s="94"/>
      <c r="Q76" s="117">
        <f t="shared" si="0"/>
        <v>0</v>
      </c>
    </row>
    <row r="77" spans="1:17" x14ac:dyDescent="0.2">
      <c r="A77" s="110">
        <v>47</v>
      </c>
      <c r="B77" s="8" t="s">
        <v>63</v>
      </c>
      <c r="C77" s="2" t="s">
        <v>392</v>
      </c>
      <c r="E77" s="11">
        <v>0</v>
      </c>
      <c r="G77" s="11"/>
      <c r="I77" s="123">
        <f t="shared" si="3"/>
        <v>0</v>
      </c>
      <c r="P77" s="94"/>
      <c r="Q77" s="117">
        <f t="shared" si="0"/>
        <v>0</v>
      </c>
    </row>
    <row r="78" spans="1:17" ht="6" customHeight="1" x14ac:dyDescent="0.2">
      <c r="A78" s="110" t="s">
        <v>309</v>
      </c>
      <c r="B78" s="2"/>
      <c r="P78" s="94"/>
      <c r="Q78" s="117">
        <f t="shared" si="0"/>
        <v>0</v>
      </c>
    </row>
    <row r="79" spans="1:17" x14ac:dyDescent="0.2">
      <c r="A79" s="110" t="s">
        <v>309</v>
      </c>
      <c r="B79" s="10"/>
      <c r="C79" s="2" t="s">
        <v>94</v>
      </c>
      <c r="P79" s="94"/>
      <c r="Q79" s="117">
        <f t="shared" si="0"/>
        <v>0</v>
      </c>
    </row>
    <row r="80" spans="1:17" x14ac:dyDescent="0.2">
      <c r="A80" s="110">
        <v>48</v>
      </c>
      <c r="B80" s="8" t="s">
        <v>72</v>
      </c>
      <c r="C80" s="8" t="s">
        <v>736</v>
      </c>
      <c r="E80" s="12">
        <v>18008</v>
      </c>
      <c r="I80" s="123">
        <f>E80+G80</f>
        <v>18008</v>
      </c>
      <c r="P80" s="94"/>
      <c r="Q80" s="117">
        <f t="shared" si="0"/>
        <v>0</v>
      </c>
    </row>
    <row r="81" spans="1:17" x14ac:dyDescent="0.2">
      <c r="A81" s="110">
        <v>49</v>
      </c>
      <c r="B81" s="8" t="s">
        <v>72</v>
      </c>
      <c r="C81" s="8" t="s">
        <v>737</v>
      </c>
      <c r="E81" s="12">
        <v>49292</v>
      </c>
      <c r="I81" s="123">
        <f>E81+G81</f>
        <v>49292</v>
      </c>
      <c r="P81" s="94"/>
      <c r="Q81" s="117">
        <f t="shared" ref="Q81:Q145" si="4">IF(LEFT(P81,5)="ERROR",1,0)</f>
        <v>0</v>
      </c>
    </row>
    <row r="82" spans="1:17" x14ac:dyDescent="0.2">
      <c r="A82" s="110">
        <v>50</v>
      </c>
      <c r="B82" s="8" t="s">
        <v>72</v>
      </c>
      <c r="C82" s="95" t="s">
        <v>853</v>
      </c>
      <c r="E82" s="12"/>
      <c r="I82" s="123">
        <f>E82+G82</f>
        <v>0</v>
      </c>
      <c r="P82" s="94"/>
      <c r="Q82" s="117"/>
    </row>
    <row r="83" spans="1:17" x14ac:dyDescent="0.2">
      <c r="A83" s="110">
        <v>51</v>
      </c>
      <c r="B83" s="8" t="s">
        <v>72</v>
      </c>
      <c r="C83" s="95" t="s">
        <v>532</v>
      </c>
      <c r="E83" s="12"/>
      <c r="I83" s="123">
        <f>E83+G83</f>
        <v>0</v>
      </c>
      <c r="P83" s="94"/>
      <c r="Q83" s="117"/>
    </row>
    <row r="84" spans="1:17" x14ac:dyDescent="0.2">
      <c r="A84" s="110">
        <v>52</v>
      </c>
      <c r="B84" s="8" t="s">
        <v>72</v>
      </c>
      <c r="C84" s="95" t="s">
        <v>532</v>
      </c>
      <c r="E84" s="12">
        <v>0</v>
      </c>
      <c r="I84" s="123">
        <f>E84+G84</f>
        <v>0</v>
      </c>
      <c r="P84" s="94"/>
      <c r="Q84" s="117">
        <f t="shared" si="4"/>
        <v>0</v>
      </c>
    </row>
    <row r="85" spans="1:17" x14ac:dyDescent="0.2">
      <c r="B85" s="2"/>
      <c r="C85" s="2" t="s">
        <v>748</v>
      </c>
      <c r="E85" s="121">
        <f>SUM(E80:E84)</f>
        <v>67300</v>
      </c>
      <c r="G85" s="121">
        <f>SUM(G80:G84)</f>
        <v>0</v>
      </c>
      <c r="I85" s="121">
        <f>SUM(I80:I84)</f>
        <v>67300</v>
      </c>
      <c r="O85" s="123"/>
      <c r="P85" s="94"/>
      <c r="Q85" s="117">
        <f t="shared" si="4"/>
        <v>0</v>
      </c>
    </row>
    <row r="86" spans="1:17" ht="4.5" customHeight="1" x14ac:dyDescent="0.2">
      <c r="A86" s="110" t="s">
        <v>309</v>
      </c>
      <c r="P86" s="94"/>
      <c r="Q86" s="117">
        <f t="shared" si="4"/>
        <v>0</v>
      </c>
    </row>
    <row r="87" spans="1:17" ht="13.5" thickBot="1" x14ac:dyDescent="0.25">
      <c r="A87" s="110" t="s">
        <v>309</v>
      </c>
      <c r="B87" s="2" t="s">
        <v>97</v>
      </c>
      <c r="D87" s="2"/>
      <c r="E87" s="125">
        <f>E32+E37+E44+E49+E57+E62+E64+E70+E72+E73+E74+E75+E76+E77+E85</f>
        <v>1215690</v>
      </c>
      <c r="F87" s="118"/>
      <c r="G87" s="125">
        <f>G32+G37+G44+G49+G57+G62+G64+G70+G72+G73+G74+G75+G76+G77+G85</f>
        <v>6800</v>
      </c>
      <c r="H87" s="2"/>
      <c r="I87" s="125">
        <f>I32+I37+I44+I49+I57+I62+I64+I70+I72+I73+I74+I75+I76+I77+I85</f>
        <v>1222490</v>
      </c>
      <c r="O87" s="118"/>
      <c r="P87" s="94"/>
      <c r="Q87" s="117">
        <f t="shared" si="4"/>
        <v>0</v>
      </c>
    </row>
    <row r="88" spans="1:17" ht="15.75" customHeight="1" thickTop="1" x14ac:dyDescent="0.2">
      <c r="A88" s="110" t="s">
        <v>309</v>
      </c>
      <c r="B88" s="119"/>
      <c r="C88" s="126"/>
      <c r="P88" s="94"/>
      <c r="Q88" s="117">
        <f t="shared" si="4"/>
        <v>0</v>
      </c>
    </row>
    <row r="89" spans="1:17" x14ac:dyDescent="0.2">
      <c r="A89" s="110" t="s">
        <v>309</v>
      </c>
      <c r="P89" s="94"/>
      <c r="Q89" s="117">
        <f t="shared" si="4"/>
        <v>0</v>
      </c>
    </row>
    <row r="90" spans="1:17" ht="15.75" x14ac:dyDescent="0.25">
      <c r="A90" s="110" t="s">
        <v>309</v>
      </c>
      <c r="B90" s="15" t="s">
        <v>106</v>
      </c>
      <c r="P90" s="94"/>
      <c r="Q90" s="117">
        <f t="shared" si="4"/>
        <v>0</v>
      </c>
    </row>
    <row r="91" spans="1:17" x14ac:dyDescent="0.2">
      <c r="A91" s="110" t="s">
        <v>309</v>
      </c>
      <c r="B91" s="2" t="s">
        <v>41</v>
      </c>
      <c r="E91" s="4" t="s">
        <v>85</v>
      </c>
      <c r="F91" s="2"/>
      <c r="G91" s="4" t="s">
        <v>86</v>
      </c>
      <c r="I91" s="4" t="s">
        <v>69</v>
      </c>
      <c r="P91" s="94"/>
      <c r="Q91" s="117">
        <f t="shared" si="4"/>
        <v>0</v>
      </c>
    </row>
    <row r="92" spans="1:17" x14ac:dyDescent="0.2">
      <c r="A92" s="110">
        <f>A84+1</f>
        <v>53</v>
      </c>
      <c r="B92" s="8" t="s">
        <v>11</v>
      </c>
      <c r="C92" s="8" t="s">
        <v>100</v>
      </c>
      <c r="E92" s="11">
        <v>591497</v>
      </c>
      <c r="G92" s="11"/>
      <c r="I92" s="123">
        <f>SUM(E92:G92)</f>
        <v>591497</v>
      </c>
      <c r="K92" s="127">
        <f t="shared" ref="K92:K103" si="5">I92/($E$87-$E$72-$E$73-$E$74-$E$75-$E$76-$E$77)</f>
        <v>0.49338288040304956</v>
      </c>
      <c r="N92" s="175"/>
      <c r="O92" s="123"/>
      <c r="P92" s="94" t="str">
        <f t="shared" ref="P92:P98" si="6">IF(AND(E92&gt;0,RIGHT($D$4,1)="H"),"ERROR - All Expenditure for 100% LBA Schools MUST be Local",IF(AND(G92&gt;0,RIGHT($D$4,1)&lt;&gt;"H"),"ERROR - Payroll Expenditure MUST be Central",""))</f>
        <v/>
      </c>
      <c r="Q92" s="117">
        <f t="shared" si="4"/>
        <v>0</v>
      </c>
    </row>
    <row r="93" spans="1:17" x14ac:dyDescent="0.2">
      <c r="A93" s="110">
        <f>A92+1</f>
        <v>54</v>
      </c>
      <c r="B93" s="8" t="s">
        <v>12</v>
      </c>
      <c r="C93" s="8" t="s">
        <v>492</v>
      </c>
      <c r="E93" s="11">
        <v>0</v>
      </c>
      <c r="G93" s="11"/>
      <c r="I93" s="123">
        <f t="shared" ref="I93:I103" si="7">SUM(E93:G93)</f>
        <v>0</v>
      </c>
      <c r="K93" s="127">
        <f t="shared" si="5"/>
        <v>0</v>
      </c>
      <c r="N93" s="175"/>
      <c r="O93" s="123"/>
      <c r="P93" s="94" t="str">
        <f t="shared" si="6"/>
        <v/>
      </c>
      <c r="Q93" s="117">
        <f t="shared" si="4"/>
        <v>0</v>
      </c>
    </row>
    <row r="94" spans="1:17" x14ac:dyDescent="0.2">
      <c r="A94" s="110">
        <f t="shared" ref="A94:A102" si="8">A93+1</f>
        <v>55</v>
      </c>
      <c r="B94" s="8" t="s">
        <v>13</v>
      </c>
      <c r="C94" s="8" t="s">
        <v>493</v>
      </c>
      <c r="E94" s="11">
        <v>160054</v>
      </c>
      <c r="G94" s="11"/>
      <c r="I94" s="123">
        <f t="shared" si="7"/>
        <v>160054</v>
      </c>
      <c r="K94" s="127">
        <f t="shared" si="5"/>
        <v>0.13350516323840983</v>
      </c>
      <c r="N94" s="175"/>
      <c r="O94" s="123"/>
      <c r="P94" s="94" t="str">
        <f t="shared" si="6"/>
        <v/>
      </c>
      <c r="Q94" s="117">
        <f t="shared" si="4"/>
        <v>0</v>
      </c>
    </row>
    <row r="95" spans="1:17" x14ac:dyDescent="0.2">
      <c r="A95" s="110">
        <f t="shared" si="8"/>
        <v>56</v>
      </c>
      <c r="B95" s="8" t="s">
        <v>14</v>
      </c>
      <c r="C95" s="8" t="s">
        <v>494</v>
      </c>
      <c r="E95" s="11">
        <v>40576</v>
      </c>
      <c r="G95" s="11"/>
      <c r="I95" s="123">
        <f t="shared" si="7"/>
        <v>40576</v>
      </c>
      <c r="K95" s="127">
        <f t="shared" si="5"/>
        <v>3.3845486545551605E-2</v>
      </c>
      <c r="N95" s="175"/>
      <c r="O95" s="123"/>
      <c r="P95" s="94" t="str">
        <f t="shared" si="6"/>
        <v/>
      </c>
      <c r="Q95" s="117">
        <f t="shared" si="4"/>
        <v>0</v>
      </c>
    </row>
    <row r="96" spans="1:17" x14ac:dyDescent="0.2">
      <c r="A96" s="110">
        <f t="shared" si="8"/>
        <v>57</v>
      </c>
      <c r="B96" s="8" t="s">
        <v>15</v>
      </c>
      <c r="C96" s="8" t="s">
        <v>495</v>
      </c>
      <c r="E96" s="11">
        <v>91536</v>
      </c>
      <c r="G96" s="11"/>
      <c r="I96" s="123">
        <f t="shared" si="7"/>
        <v>91536</v>
      </c>
      <c r="K96" s="127">
        <f t="shared" si="5"/>
        <v>7.6352534908162753E-2</v>
      </c>
      <c r="N96" s="175"/>
      <c r="O96" s="123"/>
      <c r="P96" s="94" t="str">
        <f t="shared" si="6"/>
        <v/>
      </c>
      <c r="Q96" s="117">
        <f t="shared" si="4"/>
        <v>0</v>
      </c>
    </row>
    <row r="97" spans="1:17" x14ac:dyDescent="0.2">
      <c r="A97" s="110">
        <f t="shared" si="8"/>
        <v>58</v>
      </c>
      <c r="B97" s="8" t="s">
        <v>16</v>
      </c>
      <c r="C97" s="8" t="s">
        <v>496</v>
      </c>
      <c r="E97" s="11">
        <v>0</v>
      </c>
      <c r="G97" s="11"/>
      <c r="I97" s="123">
        <f t="shared" si="7"/>
        <v>0</v>
      </c>
      <c r="K97" s="127">
        <f t="shared" si="5"/>
        <v>0</v>
      </c>
      <c r="N97" s="175"/>
      <c r="O97" s="123"/>
      <c r="P97" s="94" t="str">
        <f t="shared" si="6"/>
        <v/>
      </c>
      <c r="Q97" s="117">
        <f t="shared" si="4"/>
        <v>0</v>
      </c>
    </row>
    <row r="98" spans="1:17" x14ac:dyDescent="0.2">
      <c r="A98" s="110">
        <f t="shared" si="8"/>
        <v>59</v>
      </c>
      <c r="B98" s="8" t="s">
        <v>17</v>
      </c>
      <c r="C98" s="8" t="s">
        <v>497</v>
      </c>
      <c r="E98" s="11">
        <v>30143</v>
      </c>
      <c r="G98" s="11"/>
      <c r="I98" s="123">
        <f t="shared" si="7"/>
        <v>30143</v>
      </c>
      <c r="K98" s="127">
        <f t="shared" si="5"/>
        <v>2.5143052566604943E-2</v>
      </c>
      <c r="N98" s="175"/>
      <c r="O98" s="123"/>
      <c r="P98" s="94" t="str">
        <f t="shared" si="6"/>
        <v/>
      </c>
      <c r="Q98" s="117">
        <f t="shared" si="4"/>
        <v>0</v>
      </c>
    </row>
    <row r="99" spans="1:17" x14ac:dyDescent="0.2">
      <c r="A99" s="110">
        <f t="shared" si="8"/>
        <v>60</v>
      </c>
      <c r="B99" s="8" t="s">
        <v>18</v>
      </c>
      <c r="C99" s="8" t="s">
        <v>539</v>
      </c>
      <c r="E99" s="11">
        <v>510</v>
      </c>
      <c r="G99" s="11"/>
      <c r="I99" s="123">
        <f t="shared" si="7"/>
        <v>510</v>
      </c>
      <c r="K99" s="127">
        <f t="shared" si="5"/>
        <v>4.2540413392723085E-4</v>
      </c>
      <c r="N99" s="175"/>
      <c r="O99" s="123"/>
      <c r="P99" s="94" t="str">
        <f>IF(AND(E99&gt;0,RIGHT($D$4,1)="H"),"ERROR - All Expenditure for 100% LBA Schools MUST be Local","")</f>
        <v/>
      </c>
      <c r="Q99" s="117">
        <f t="shared" si="4"/>
        <v>0</v>
      </c>
    </row>
    <row r="100" spans="1:17" x14ac:dyDescent="0.2">
      <c r="A100" s="110">
        <f t="shared" si="8"/>
        <v>61</v>
      </c>
      <c r="B100" s="8" t="s">
        <v>19</v>
      </c>
      <c r="C100" s="8" t="s">
        <v>103</v>
      </c>
      <c r="E100" s="11">
        <v>4080</v>
      </c>
      <c r="G100" s="11"/>
      <c r="I100" s="123">
        <f t="shared" si="7"/>
        <v>4080</v>
      </c>
      <c r="K100" s="127">
        <f t="shared" si="5"/>
        <v>3.4032330714178468E-3</v>
      </c>
      <c r="N100" s="175"/>
      <c r="O100" s="123"/>
      <c r="P100" s="94" t="str">
        <f>IF(AND(E100&gt;0,RIGHT($D$4,1)="H"),"ERROR - All Expenditure for 100% LBA Schools MUST be Local","")</f>
        <v/>
      </c>
      <c r="Q100" s="117">
        <f t="shared" si="4"/>
        <v>0</v>
      </c>
    </row>
    <row r="101" spans="1:17" x14ac:dyDescent="0.2">
      <c r="A101" s="110">
        <f t="shared" si="8"/>
        <v>62</v>
      </c>
      <c r="B101" s="8" t="s">
        <v>20</v>
      </c>
      <c r="C101" s="8" t="s">
        <v>104</v>
      </c>
      <c r="E101" s="11">
        <v>7450</v>
      </c>
      <c r="G101" s="11"/>
      <c r="I101" s="123">
        <f t="shared" si="7"/>
        <v>7450</v>
      </c>
      <c r="K101" s="127">
        <f t="shared" si="5"/>
        <v>6.214236858348765E-3</v>
      </c>
      <c r="N101" s="175"/>
      <c r="O101" s="123"/>
      <c r="P101" s="94" t="str">
        <f>IF(AND(E101&gt;0,RIGHT($D$4,1)="H"),"ERROR - All Expenditure for 100% LBA Schools MUST be Local","")</f>
        <v/>
      </c>
      <c r="Q101" s="117">
        <f t="shared" si="4"/>
        <v>0</v>
      </c>
    </row>
    <row r="102" spans="1:17" x14ac:dyDescent="0.2">
      <c r="A102" s="110">
        <f t="shared" si="8"/>
        <v>63</v>
      </c>
      <c r="B102" s="8" t="s">
        <v>21</v>
      </c>
      <c r="C102" s="8" t="s">
        <v>105</v>
      </c>
      <c r="E102" s="11">
        <v>0</v>
      </c>
      <c r="G102" s="11">
        <v>0</v>
      </c>
      <c r="I102" s="123">
        <f t="shared" si="7"/>
        <v>0</v>
      </c>
      <c r="K102" s="127">
        <f t="shared" si="5"/>
        <v>0</v>
      </c>
      <c r="N102" s="175"/>
      <c r="O102" s="123"/>
      <c r="P102" s="94" t="str">
        <f>IF(AND(E102&gt;0,RIGHT($D$4,1)="H"),"ERROR - All Expenditure for 100% LBA Schools MUST be Local","")</f>
        <v/>
      </c>
      <c r="Q102" s="117">
        <f t="shared" si="4"/>
        <v>0</v>
      </c>
    </row>
    <row r="103" spans="1:17" x14ac:dyDescent="0.2">
      <c r="B103" s="2" t="s">
        <v>114</v>
      </c>
      <c r="E103" s="128">
        <f>SUM(E92:E102)</f>
        <v>925846</v>
      </c>
      <c r="F103" s="2"/>
      <c r="G103" s="128">
        <f>SUM(G92:G102)</f>
        <v>0</v>
      </c>
      <c r="H103" s="2"/>
      <c r="I103" s="129">
        <f t="shared" si="7"/>
        <v>925846</v>
      </c>
      <c r="K103" s="130">
        <f t="shared" si="5"/>
        <v>0.77227199172547256</v>
      </c>
      <c r="N103" s="176"/>
      <c r="O103" s="118"/>
      <c r="P103" s="94"/>
      <c r="Q103" s="117">
        <f t="shared" si="4"/>
        <v>0</v>
      </c>
    </row>
    <row r="104" spans="1:17" ht="9.9499999999999993" customHeight="1" x14ac:dyDescent="0.2">
      <c r="K104" s="206"/>
      <c r="N104" s="6"/>
      <c r="P104" s="94"/>
      <c r="Q104" s="117">
        <f t="shared" si="4"/>
        <v>0</v>
      </c>
    </row>
    <row r="105" spans="1:17" x14ac:dyDescent="0.2">
      <c r="B105" s="2" t="s">
        <v>42</v>
      </c>
      <c r="E105" s="4" t="s">
        <v>85</v>
      </c>
      <c r="F105" s="2"/>
      <c r="G105" s="4" t="s">
        <v>86</v>
      </c>
      <c r="I105" s="4" t="s">
        <v>69</v>
      </c>
      <c r="K105" s="206"/>
      <c r="N105" s="6"/>
      <c r="P105" s="94"/>
      <c r="Q105" s="117">
        <f t="shared" si="4"/>
        <v>0</v>
      </c>
    </row>
    <row r="106" spans="1:17" x14ac:dyDescent="0.2">
      <c r="A106" s="110">
        <f>A102+1</f>
        <v>64</v>
      </c>
      <c r="B106" s="8" t="s">
        <v>22</v>
      </c>
      <c r="C106" s="8" t="s">
        <v>107</v>
      </c>
      <c r="E106" s="11"/>
      <c r="G106" s="11">
        <v>5100</v>
      </c>
      <c r="I106" s="123">
        <f t="shared" ref="I106:I112" si="9">SUM(E106:G106)</f>
        <v>5100</v>
      </c>
      <c r="K106" s="127">
        <f t="shared" ref="K106:K113" si="10">I106/($E$87-$E$72-$E$73-$E$74-$E$75-$E$76-$E$77)</f>
        <v>4.2540413392723091E-3</v>
      </c>
      <c r="N106" s="175"/>
      <c r="O106" s="123"/>
      <c r="P106" s="94" t="str">
        <f t="shared" ref="P106:P112" si="11">IF(AND(E106&gt;0,RIGHT($D$4,1)="H"),"ERROR - All Expenditure for 100% LBA Schools MUST be Local","")</f>
        <v/>
      </c>
      <c r="Q106" s="117">
        <f t="shared" si="4"/>
        <v>0</v>
      </c>
    </row>
    <row r="107" spans="1:17" x14ac:dyDescent="0.2">
      <c r="A107" s="110">
        <f>A106+1</f>
        <v>65</v>
      </c>
      <c r="B107" s="8" t="s">
        <v>23</v>
      </c>
      <c r="C107" s="8" t="s">
        <v>108</v>
      </c>
      <c r="E107" s="11"/>
      <c r="G107" s="11">
        <v>9675</v>
      </c>
      <c r="I107" s="123">
        <f t="shared" si="9"/>
        <v>9675</v>
      </c>
      <c r="K107" s="127">
        <f t="shared" si="10"/>
        <v>8.07016665832541E-3</v>
      </c>
      <c r="N107" s="175"/>
      <c r="O107" s="123"/>
      <c r="P107" s="94" t="str">
        <f t="shared" si="11"/>
        <v/>
      </c>
      <c r="Q107" s="117">
        <f t="shared" si="4"/>
        <v>0</v>
      </c>
    </row>
    <row r="108" spans="1:17" x14ac:dyDescent="0.2">
      <c r="A108" s="110">
        <f t="shared" ref="A108:A112" si="12">A107+1</f>
        <v>66</v>
      </c>
      <c r="B108" s="8" t="s">
        <v>24</v>
      </c>
      <c r="C108" s="8" t="s">
        <v>109</v>
      </c>
      <c r="E108" s="11"/>
      <c r="G108" s="11">
        <v>11445</v>
      </c>
      <c r="I108" s="123">
        <f t="shared" si="9"/>
        <v>11445</v>
      </c>
      <c r="K108" s="127">
        <f t="shared" si="10"/>
        <v>9.5465692407787402E-3</v>
      </c>
      <c r="N108" s="175"/>
      <c r="O108" s="123"/>
      <c r="P108" s="94" t="str">
        <f t="shared" si="11"/>
        <v/>
      </c>
      <c r="Q108" s="117">
        <f t="shared" si="4"/>
        <v>0</v>
      </c>
    </row>
    <row r="109" spans="1:17" x14ac:dyDescent="0.2">
      <c r="A109" s="110">
        <f t="shared" si="12"/>
        <v>67</v>
      </c>
      <c r="B109" s="8" t="s">
        <v>25</v>
      </c>
      <c r="C109" s="8" t="s">
        <v>110</v>
      </c>
      <c r="E109" s="11"/>
      <c r="G109" s="11">
        <v>2550</v>
      </c>
      <c r="I109" s="123">
        <f t="shared" si="9"/>
        <v>2550</v>
      </c>
      <c r="K109" s="127">
        <f t="shared" si="10"/>
        <v>2.1270206696361546E-3</v>
      </c>
      <c r="N109" s="175"/>
      <c r="O109" s="123"/>
      <c r="P109" s="94" t="str">
        <f t="shared" si="11"/>
        <v/>
      </c>
      <c r="Q109" s="117">
        <f t="shared" si="4"/>
        <v>0</v>
      </c>
    </row>
    <row r="110" spans="1:17" x14ac:dyDescent="0.2">
      <c r="A110" s="110">
        <f t="shared" si="12"/>
        <v>68</v>
      </c>
      <c r="B110" s="8" t="s">
        <v>26</v>
      </c>
      <c r="C110" s="8" t="s">
        <v>111</v>
      </c>
      <c r="E110" s="11"/>
      <c r="G110" s="11">
        <v>14200</v>
      </c>
      <c r="I110" s="123">
        <f t="shared" si="9"/>
        <v>14200</v>
      </c>
      <c r="K110" s="127">
        <f t="shared" si="10"/>
        <v>1.1844585689738585E-2</v>
      </c>
      <c r="N110" s="175"/>
      <c r="O110" s="123"/>
      <c r="P110" s="94" t="str">
        <f t="shared" si="11"/>
        <v/>
      </c>
      <c r="Q110" s="117">
        <f t="shared" si="4"/>
        <v>0</v>
      </c>
    </row>
    <row r="111" spans="1:17" x14ac:dyDescent="0.2">
      <c r="A111" s="110">
        <f t="shared" si="12"/>
        <v>69</v>
      </c>
      <c r="B111" s="8" t="s">
        <v>27</v>
      </c>
      <c r="C111" s="8" t="s">
        <v>40</v>
      </c>
      <c r="E111" s="11">
        <v>5100</v>
      </c>
      <c r="G111" s="11"/>
      <c r="I111" s="123">
        <f t="shared" si="9"/>
        <v>5100</v>
      </c>
      <c r="K111" s="127">
        <f t="shared" si="10"/>
        <v>4.2540413392723091E-3</v>
      </c>
      <c r="N111" s="175"/>
      <c r="O111" s="123"/>
      <c r="P111" s="94" t="str">
        <f t="shared" si="11"/>
        <v/>
      </c>
      <c r="Q111" s="117">
        <f t="shared" si="4"/>
        <v>0</v>
      </c>
    </row>
    <row r="112" spans="1:17" x14ac:dyDescent="0.2">
      <c r="A112" s="110">
        <f t="shared" si="12"/>
        <v>70</v>
      </c>
      <c r="B112" s="8" t="s">
        <v>28</v>
      </c>
      <c r="C112" s="8" t="s">
        <v>112</v>
      </c>
      <c r="E112" s="11"/>
      <c r="G112" s="11">
        <v>8897</v>
      </c>
      <c r="I112" s="123">
        <f t="shared" si="9"/>
        <v>8897</v>
      </c>
      <c r="K112" s="127">
        <f t="shared" si="10"/>
        <v>7.4212168226481827E-3</v>
      </c>
      <c r="N112" s="175"/>
      <c r="O112" s="123"/>
      <c r="P112" s="94" t="str">
        <f t="shared" si="11"/>
        <v/>
      </c>
      <c r="Q112" s="117">
        <f t="shared" si="4"/>
        <v>0</v>
      </c>
    </row>
    <row r="113" spans="1:17" x14ac:dyDescent="0.2">
      <c r="B113" s="2" t="s">
        <v>113</v>
      </c>
      <c r="E113" s="128">
        <f>SUM(E106:E112)</f>
        <v>5100</v>
      </c>
      <c r="F113" s="2"/>
      <c r="G113" s="128">
        <f>SUM(G106:G112)</f>
        <v>51867</v>
      </c>
      <c r="H113" s="2"/>
      <c r="I113" s="129">
        <f>SUM(I106:I112)</f>
        <v>56967</v>
      </c>
      <c r="K113" s="130">
        <f t="shared" si="10"/>
        <v>4.7517641759671686E-2</v>
      </c>
      <c r="N113" s="177"/>
      <c r="O113" s="118"/>
      <c r="P113" s="94"/>
      <c r="Q113" s="117">
        <f t="shared" si="4"/>
        <v>0</v>
      </c>
    </row>
    <row r="114" spans="1:17" ht="9.9499999999999993" customHeight="1" x14ac:dyDescent="0.2">
      <c r="A114" s="110" t="s">
        <v>309</v>
      </c>
      <c r="K114" s="206"/>
      <c r="P114" s="94"/>
      <c r="Q114" s="117">
        <f t="shared" si="4"/>
        <v>0</v>
      </c>
    </row>
    <row r="115" spans="1:17" x14ac:dyDescent="0.2">
      <c r="A115" s="110" t="s">
        <v>309</v>
      </c>
      <c r="B115" s="2" t="s">
        <v>115</v>
      </c>
      <c r="E115" s="4" t="s">
        <v>85</v>
      </c>
      <c r="F115" s="2"/>
      <c r="G115" s="4" t="s">
        <v>86</v>
      </c>
      <c r="I115" s="4" t="s">
        <v>69</v>
      </c>
      <c r="K115" s="206"/>
      <c r="P115" s="94"/>
      <c r="Q115" s="117">
        <f t="shared" si="4"/>
        <v>0</v>
      </c>
    </row>
    <row r="116" spans="1:17" x14ac:dyDescent="0.2">
      <c r="A116" s="110">
        <f>A112+1</f>
        <v>71</v>
      </c>
      <c r="B116" s="8" t="s">
        <v>29</v>
      </c>
      <c r="C116" s="8" t="s">
        <v>116</v>
      </c>
      <c r="E116" s="11"/>
      <c r="G116" s="11">
        <v>45345</v>
      </c>
      <c r="I116" s="123">
        <f t="shared" ref="I116:I127" si="13">SUM(E116:G116)</f>
        <v>45345</v>
      </c>
      <c r="K116" s="127">
        <f t="shared" ref="K116:K127" si="14">I116/($E$87-$E$72-$E$73-$E$74-$E$75-$E$76-$E$77)</f>
        <v>3.7823432260647619E-2</v>
      </c>
      <c r="N116" s="175"/>
      <c r="O116" s="123"/>
      <c r="P116" s="94" t="str">
        <f t="shared" ref="P116:P126" si="15">IF(AND(E116&gt;0,RIGHT($D$4,1)="H"),"ERROR - All Expenditure for 100% LBA Schools MUST be Local","")</f>
        <v/>
      </c>
      <c r="Q116" s="117">
        <f t="shared" si="4"/>
        <v>0</v>
      </c>
    </row>
    <row r="117" spans="1:17" x14ac:dyDescent="0.2">
      <c r="A117" s="110">
        <f>A116+1</f>
        <v>72</v>
      </c>
      <c r="B117" s="8" t="s">
        <v>30</v>
      </c>
      <c r="C117" s="8" t="s">
        <v>117</v>
      </c>
      <c r="E117" s="11"/>
      <c r="G117" s="11">
        <v>8448</v>
      </c>
      <c r="I117" s="123">
        <f t="shared" si="13"/>
        <v>8448</v>
      </c>
      <c r="K117" s="127">
        <f t="shared" si="14"/>
        <v>7.0466943596416594E-3</v>
      </c>
      <c r="N117" s="175"/>
      <c r="O117" s="123"/>
      <c r="P117" s="94" t="str">
        <f t="shared" si="15"/>
        <v/>
      </c>
      <c r="Q117" s="117">
        <f t="shared" si="4"/>
        <v>0</v>
      </c>
    </row>
    <row r="118" spans="1:17" x14ac:dyDescent="0.2">
      <c r="A118" s="110">
        <f t="shared" ref="A118:A126" si="16">A117+1</f>
        <v>73</v>
      </c>
      <c r="B118" s="8" t="s">
        <v>31</v>
      </c>
      <c r="C118" s="8" t="s">
        <v>118</v>
      </c>
      <c r="E118" s="11"/>
      <c r="G118" s="11">
        <v>0</v>
      </c>
      <c r="I118" s="123">
        <f t="shared" si="13"/>
        <v>0</v>
      </c>
      <c r="K118" s="127">
        <f t="shared" si="14"/>
        <v>0</v>
      </c>
      <c r="N118" s="175"/>
      <c r="O118" s="123"/>
      <c r="P118" s="94" t="str">
        <f t="shared" si="15"/>
        <v/>
      </c>
      <c r="Q118" s="117">
        <f t="shared" si="4"/>
        <v>0</v>
      </c>
    </row>
    <row r="119" spans="1:17" x14ac:dyDescent="0.2">
      <c r="A119" s="110">
        <f t="shared" si="16"/>
        <v>74</v>
      </c>
      <c r="B119" s="8" t="s">
        <v>32</v>
      </c>
      <c r="C119" s="8" t="s">
        <v>119</v>
      </c>
      <c r="E119" s="11"/>
      <c r="G119" s="11">
        <v>7093</v>
      </c>
      <c r="I119" s="123">
        <f t="shared" si="13"/>
        <v>7093</v>
      </c>
      <c r="K119" s="127">
        <f t="shared" si="14"/>
        <v>5.9164539645997034E-3</v>
      </c>
      <c r="N119" s="175"/>
      <c r="O119" s="123"/>
      <c r="P119" s="94" t="str">
        <f t="shared" si="15"/>
        <v/>
      </c>
      <c r="Q119" s="117">
        <f t="shared" si="4"/>
        <v>0</v>
      </c>
    </row>
    <row r="120" spans="1:17" x14ac:dyDescent="0.2">
      <c r="A120" s="110">
        <f t="shared" si="16"/>
        <v>75</v>
      </c>
      <c r="B120" s="8" t="s">
        <v>33</v>
      </c>
      <c r="C120" s="8" t="s">
        <v>120</v>
      </c>
      <c r="E120" s="11">
        <v>5253</v>
      </c>
      <c r="G120" s="11"/>
      <c r="I120" s="123">
        <f t="shared" si="13"/>
        <v>5253</v>
      </c>
      <c r="K120" s="127">
        <f t="shared" si="14"/>
        <v>4.3816625794504778E-3</v>
      </c>
      <c r="N120" s="175"/>
      <c r="O120" s="123"/>
      <c r="P120" s="94" t="str">
        <f t="shared" si="15"/>
        <v/>
      </c>
      <c r="Q120" s="117">
        <f t="shared" si="4"/>
        <v>0</v>
      </c>
    </row>
    <row r="121" spans="1:17" x14ac:dyDescent="0.2">
      <c r="A121" s="110">
        <f t="shared" si="16"/>
        <v>76</v>
      </c>
      <c r="B121" s="8" t="s">
        <v>34</v>
      </c>
      <c r="C121" s="8" t="s">
        <v>121</v>
      </c>
      <c r="E121" s="11"/>
      <c r="G121" s="11">
        <v>459</v>
      </c>
      <c r="I121" s="123">
        <f t="shared" si="13"/>
        <v>459</v>
      </c>
      <c r="K121" s="127">
        <f t="shared" si="14"/>
        <v>3.8286372053450776E-4</v>
      </c>
      <c r="N121" s="175"/>
      <c r="O121" s="123"/>
      <c r="P121" s="94" t="str">
        <f t="shared" si="15"/>
        <v/>
      </c>
      <c r="Q121" s="117">
        <f t="shared" si="4"/>
        <v>0</v>
      </c>
    </row>
    <row r="122" spans="1:17" x14ac:dyDescent="0.2">
      <c r="A122" s="110">
        <f t="shared" si="16"/>
        <v>77</v>
      </c>
      <c r="B122" s="8" t="s">
        <v>35</v>
      </c>
      <c r="C122" s="8" t="s">
        <v>122</v>
      </c>
      <c r="E122" s="11">
        <v>49232</v>
      </c>
      <c r="G122" s="11"/>
      <c r="I122" s="123">
        <f t="shared" si="13"/>
        <v>49232</v>
      </c>
      <c r="K122" s="127">
        <f t="shared" si="14"/>
        <v>4.1065679061775356E-2</v>
      </c>
      <c r="N122" s="175"/>
      <c r="O122" s="123"/>
      <c r="P122" s="94" t="str">
        <f t="shared" si="15"/>
        <v/>
      </c>
      <c r="Q122" s="117">
        <f t="shared" si="4"/>
        <v>0</v>
      </c>
    </row>
    <row r="123" spans="1:17" x14ac:dyDescent="0.2">
      <c r="A123" s="110">
        <f t="shared" si="16"/>
        <v>78</v>
      </c>
      <c r="B123" s="8" t="s">
        <v>36</v>
      </c>
      <c r="C123" s="8" t="s">
        <v>123</v>
      </c>
      <c r="E123" s="11"/>
      <c r="G123" s="11">
        <v>64203</v>
      </c>
      <c r="I123" s="123">
        <f t="shared" si="13"/>
        <v>64203</v>
      </c>
      <c r="K123" s="127">
        <f t="shared" si="14"/>
        <v>5.3553375706921577E-2</v>
      </c>
      <c r="N123" s="175"/>
      <c r="O123" s="123"/>
      <c r="P123" s="94" t="str">
        <f t="shared" si="15"/>
        <v/>
      </c>
      <c r="Q123" s="117">
        <f t="shared" si="4"/>
        <v>0</v>
      </c>
    </row>
    <row r="124" spans="1:17" x14ac:dyDescent="0.2">
      <c r="A124" s="110">
        <f t="shared" si="16"/>
        <v>79</v>
      </c>
      <c r="B124" s="8" t="s">
        <v>37</v>
      </c>
      <c r="C124" s="8" t="s">
        <v>124</v>
      </c>
      <c r="E124" s="11"/>
      <c r="G124" s="11">
        <v>17721</v>
      </c>
      <c r="I124" s="123">
        <f t="shared" si="13"/>
        <v>17721</v>
      </c>
      <c r="K124" s="127">
        <f t="shared" si="14"/>
        <v>1.4781542465342076E-2</v>
      </c>
      <c r="N124" s="175"/>
      <c r="O124" s="123"/>
      <c r="P124" s="94" t="str">
        <f t="shared" si="15"/>
        <v/>
      </c>
      <c r="Q124" s="117">
        <f t="shared" si="4"/>
        <v>0</v>
      </c>
    </row>
    <row r="125" spans="1:17" x14ac:dyDescent="0.2">
      <c r="A125" s="110">
        <f t="shared" si="16"/>
        <v>80</v>
      </c>
      <c r="B125" s="8" t="s">
        <v>38</v>
      </c>
      <c r="C125" s="8" t="s">
        <v>125</v>
      </c>
      <c r="E125" s="11">
        <v>5806</v>
      </c>
      <c r="G125" s="11">
        <v>25138</v>
      </c>
      <c r="I125" s="123">
        <f t="shared" si="13"/>
        <v>30944</v>
      </c>
      <c r="K125" s="127">
        <f t="shared" si="14"/>
        <v>2.5811187294596534E-2</v>
      </c>
      <c r="N125" s="175"/>
      <c r="O125" s="123"/>
      <c r="P125" s="94" t="str">
        <f t="shared" si="15"/>
        <v/>
      </c>
      <c r="Q125" s="117">
        <f t="shared" si="4"/>
        <v>0</v>
      </c>
    </row>
    <row r="126" spans="1:17" x14ac:dyDescent="0.2">
      <c r="A126" s="110">
        <f t="shared" si="16"/>
        <v>81</v>
      </c>
      <c r="B126" s="8" t="s">
        <v>39</v>
      </c>
      <c r="C126" s="8" t="s">
        <v>574</v>
      </c>
      <c r="E126" s="208"/>
      <c r="G126" s="11">
        <f>11628+16501</f>
        <v>28129</v>
      </c>
      <c r="I126" s="123">
        <f t="shared" si="13"/>
        <v>28129</v>
      </c>
      <c r="K126" s="127">
        <f t="shared" si="14"/>
        <v>2.3463123300468777E-2</v>
      </c>
      <c r="N126" s="175"/>
      <c r="O126" s="123"/>
      <c r="P126" s="94" t="str">
        <f t="shared" si="15"/>
        <v/>
      </c>
      <c r="Q126" s="117">
        <f t="shared" si="4"/>
        <v>0</v>
      </c>
    </row>
    <row r="127" spans="1:17" x14ac:dyDescent="0.2">
      <c r="A127" s="110" t="s">
        <v>309</v>
      </c>
      <c r="B127" s="2" t="s">
        <v>126</v>
      </c>
      <c r="E127" s="128">
        <f>SUM(E116:E126)</f>
        <v>60291</v>
      </c>
      <c r="F127" s="2"/>
      <c r="G127" s="128">
        <f>SUM(G116:G126)</f>
        <v>196536</v>
      </c>
      <c r="H127" s="2"/>
      <c r="I127" s="129">
        <f t="shared" si="13"/>
        <v>256827</v>
      </c>
      <c r="K127" s="130">
        <f t="shared" si="14"/>
        <v>0.21422601471397829</v>
      </c>
      <c r="O127" s="118"/>
      <c r="P127" s="94"/>
      <c r="Q127" s="117">
        <f t="shared" si="4"/>
        <v>0</v>
      </c>
    </row>
    <row r="128" spans="1:17" ht="9.9499999999999993" customHeight="1" x14ac:dyDescent="0.2">
      <c r="A128" s="110" t="s">
        <v>309</v>
      </c>
      <c r="K128" s="206"/>
      <c r="P128" s="94"/>
      <c r="Q128" s="117">
        <f t="shared" si="4"/>
        <v>0</v>
      </c>
    </row>
    <row r="129" spans="1:17" ht="13.5" thickBot="1" x14ac:dyDescent="0.25">
      <c r="A129" s="110" t="s">
        <v>309</v>
      </c>
      <c r="B129" s="2" t="s">
        <v>347</v>
      </c>
      <c r="D129" s="2"/>
      <c r="E129" s="125">
        <f>SUM(E92:E127)/2</f>
        <v>991237</v>
      </c>
      <c r="F129" s="118">
        <f>SUM(F76:F126)</f>
        <v>0</v>
      </c>
      <c r="G129" s="125">
        <f>SUM(G92:G127)/2</f>
        <v>248403</v>
      </c>
      <c r="H129" s="2"/>
      <c r="I129" s="125">
        <f>SUM(I92:I127)/2</f>
        <v>1239640</v>
      </c>
      <c r="K129" s="131">
        <f>I129/($E$87-$E$72-$E$73-$E$74-$E$75-$E$76-$E$77)</f>
        <v>1.0340156481991225</v>
      </c>
      <c r="P129" s="94"/>
      <c r="Q129" s="117">
        <f t="shared" si="4"/>
        <v>0</v>
      </c>
    </row>
    <row r="130" spans="1:17" ht="9.9499999999999993" customHeight="1" thickTop="1" x14ac:dyDescent="0.2">
      <c r="A130" s="110" t="s">
        <v>309</v>
      </c>
      <c r="K130" s="206"/>
      <c r="P130" s="94"/>
      <c r="Q130" s="117">
        <f t="shared" si="4"/>
        <v>0</v>
      </c>
    </row>
    <row r="131" spans="1:17" x14ac:dyDescent="0.2">
      <c r="A131" s="110" t="s">
        <v>309</v>
      </c>
      <c r="B131" s="2" t="s">
        <v>333</v>
      </c>
      <c r="K131" s="206"/>
      <c r="P131" s="94"/>
      <c r="Q131" s="117">
        <f t="shared" si="4"/>
        <v>0</v>
      </c>
    </row>
    <row r="132" spans="1:17" x14ac:dyDescent="0.2">
      <c r="A132" s="110">
        <v>82</v>
      </c>
      <c r="B132" s="8" t="s">
        <v>53</v>
      </c>
      <c r="C132" s="8" t="s">
        <v>334</v>
      </c>
      <c r="I132" s="11"/>
      <c r="P132" s="94"/>
      <c r="Q132" s="117">
        <f t="shared" si="4"/>
        <v>0</v>
      </c>
    </row>
    <row r="133" spans="1:17" x14ac:dyDescent="0.2">
      <c r="A133" s="110">
        <v>83</v>
      </c>
      <c r="B133" s="8" t="s">
        <v>54</v>
      </c>
      <c r="C133" s="8" t="s">
        <v>58</v>
      </c>
      <c r="I133" s="132">
        <f>I134-I132</f>
        <v>84312</v>
      </c>
      <c r="P133" s="94"/>
      <c r="Q133" s="117">
        <f t="shared" si="4"/>
        <v>0</v>
      </c>
    </row>
    <row r="134" spans="1:17" ht="13.5" thickBot="1" x14ac:dyDescent="0.25">
      <c r="A134" s="110" t="s">
        <v>309</v>
      </c>
      <c r="B134" s="2" t="s">
        <v>335</v>
      </c>
      <c r="I134" s="133">
        <f>I11+I87-I129</f>
        <v>84312</v>
      </c>
      <c r="K134" s="4" t="str">
        <f>IF(I134&gt;=0,"Surplus","Deficit")</f>
        <v>Surplus</v>
      </c>
      <c r="P134" s="94"/>
      <c r="Q134" s="117">
        <f t="shared" si="4"/>
        <v>0</v>
      </c>
    </row>
    <row r="135" spans="1:17" ht="9.9499999999999993" customHeight="1" thickTop="1" thickBot="1" x14ac:dyDescent="0.25">
      <c r="A135" s="110" t="s">
        <v>309</v>
      </c>
      <c r="B135" s="8"/>
      <c r="C135" s="8"/>
      <c r="I135" s="123"/>
      <c r="P135" s="94"/>
      <c r="Q135" s="117">
        <f t="shared" si="4"/>
        <v>0</v>
      </c>
    </row>
    <row r="136" spans="1:17" ht="13.5" thickBot="1" x14ac:dyDescent="0.25">
      <c r="A136" s="110" t="s">
        <v>309</v>
      </c>
      <c r="B136" s="134" t="s">
        <v>336</v>
      </c>
      <c r="C136" s="135"/>
      <c r="D136" s="135"/>
      <c r="E136" s="135"/>
      <c r="F136" s="135"/>
      <c r="G136" s="135"/>
      <c r="H136" s="135"/>
      <c r="I136" s="136">
        <f>I134-I11</f>
        <v>-17150</v>
      </c>
      <c r="K136" s="4" t="str">
        <f>IF(I136&gt;=0,"Surplus","Deficit")</f>
        <v>Deficit</v>
      </c>
      <c r="P136" s="94"/>
      <c r="Q136" s="137">
        <f>SUM(Q8:Q135)</f>
        <v>0</v>
      </c>
    </row>
    <row r="137" spans="1:17" x14ac:dyDescent="0.2">
      <c r="A137" s="110" t="s">
        <v>309</v>
      </c>
      <c r="B137" s="8"/>
      <c r="P137" s="94"/>
      <c r="Q137" s="117">
        <f t="shared" si="4"/>
        <v>0</v>
      </c>
    </row>
    <row r="138" spans="1:17" x14ac:dyDescent="0.2">
      <c r="A138" s="110" t="s">
        <v>309</v>
      </c>
      <c r="B138" s="8"/>
      <c r="P138" s="94"/>
      <c r="Q138" s="117">
        <f t="shared" si="4"/>
        <v>0</v>
      </c>
    </row>
    <row r="139" spans="1:17" ht="15.75" x14ac:dyDescent="0.25">
      <c r="A139" s="110" t="s">
        <v>309</v>
      </c>
      <c r="B139" s="15" t="s">
        <v>553</v>
      </c>
      <c r="P139" s="94"/>
      <c r="Q139" s="117">
        <f t="shared" si="4"/>
        <v>0</v>
      </c>
    </row>
    <row r="140" spans="1:17" ht="15.75" x14ac:dyDescent="0.25">
      <c r="A140" s="110" t="s">
        <v>309</v>
      </c>
      <c r="B140" s="15"/>
      <c r="E140" s="4" t="s">
        <v>85</v>
      </c>
      <c r="F140" s="2"/>
      <c r="G140" s="4" t="s">
        <v>86</v>
      </c>
      <c r="I140" s="4" t="s">
        <v>69</v>
      </c>
      <c r="L140" s="2"/>
      <c r="N140" s="4"/>
      <c r="O140" s="4"/>
      <c r="P140" s="94"/>
      <c r="Q140" s="117">
        <f t="shared" si="4"/>
        <v>0</v>
      </c>
    </row>
    <row r="141" spans="1:17" x14ac:dyDescent="0.2">
      <c r="A141" s="110">
        <v>84</v>
      </c>
      <c r="B141" s="8" t="s">
        <v>512</v>
      </c>
      <c r="C141" s="8" t="s">
        <v>71</v>
      </c>
      <c r="E141" s="11">
        <v>171000</v>
      </c>
      <c r="I141" s="116">
        <f>E141+G141</f>
        <v>171000</v>
      </c>
      <c r="N141" s="123"/>
      <c r="O141" s="174"/>
      <c r="P141" s="94"/>
      <c r="Q141" s="117">
        <f t="shared" si="4"/>
        <v>0</v>
      </c>
    </row>
    <row r="142" spans="1:17" ht="13.5" customHeight="1" x14ac:dyDescent="0.2">
      <c r="A142" s="110">
        <v>85</v>
      </c>
      <c r="B142" s="8" t="s">
        <v>540</v>
      </c>
      <c r="C142" s="8" t="s">
        <v>503</v>
      </c>
      <c r="E142" s="138">
        <f>-E10</f>
        <v>-28129</v>
      </c>
      <c r="I142" s="139">
        <f>E142+G142</f>
        <v>-28129</v>
      </c>
      <c r="P142" s="8" t="str">
        <f>IF(E142&lt;&gt;0,"Subject to approval by LA - see Section P of Finance Manual","")</f>
        <v>Subject to approval by LA - see Section P of Finance Manual</v>
      </c>
      <c r="Q142" s="117">
        <f t="shared" si="4"/>
        <v>0</v>
      </c>
    </row>
    <row r="143" spans="1:17" ht="13.5" customHeight="1" thickBot="1" x14ac:dyDescent="0.25">
      <c r="A143" s="110" t="s">
        <v>309</v>
      </c>
      <c r="B143" s="2" t="s">
        <v>548</v>
      </c>
      <c r="C143" s="8"/>
      <c r="E143" s="120">
        <f>SUM(E141:E142)</f>
        <v>142871</v>
      </c>
      <c r="G143" s="120">
        <f>SUM(G141:G142)</f>
        <v>0</v>
      </c>
      <c r="I143" s="120">
        <f>SUM(I141:I142)</f>
        <v>142871</v>
      </c>
      <c r="P143" s="94"/>
      <c r="Q143" s="117">
        <f t="shared" si="4"/>
        <v>0</v>
      </c>
    </row>
    <row r="144" spans="1:17" ht="13.5" customHeight="1" thickTop="1" x14ac:dyDescent="0.2">
      <c r="A144" s="110" t="s">
        <v>309</v>
      </c>
      <c r="C144" s="8"/>
      <c r="E144" s="116"/>
      <c r="P144" s="94"/>
      <c r="Q144" s="117">
        <f t="shared" si="4"/>
        <v>0</v>
      </c>
    </row>
    <row r="145" spans="1:17" ht="15.75" x14ac:dyDescent="0.25">
      <c r="A145" s="110" t="s">
        <v>309</v>
      </c>
      <c r="B145" s="15" t="s">
        <v>311</v>
      </c>
      <c r="P145" s="94"/>
      <c r="Q145" s="117">
        <f t="shared" si="4"/>
        <v>0</v>
      </c>
    </row>
    <row r="146" spans="1:17" x14ac:dyDescent="0.2">
      <c r="A146" s="110" t="s">
        <v>309</v>
      </c>
      <c r="B146" s="10"/>
      <c r="C146" s="10" t="s">
        <v>312</v>
      </c>
      <c r="E146" s="4" t="s">
        <v>85</v>
      </c>
      <c r="F146" s="2"/>
      <c r="G146" s="4" t="s">
        <v>86</v>
      </c>
      <c r="I146" s="4" t="s">
        <v>69</v>
      </c>
      <c r="P146" s="94"/>
      <c r="Q146" s="117">
        <f t="shared" ref="Q146:Q206" si="17">IF(LEFT(P146,5)="ERROR",1,0)</f>
        <v>0</v>
      </c>
    </row>
    <row r="147" spans="1:17" x14ac:dyDescent="0.2">
      <c r="A147" s="110">
        <v>86</v>
      </c>
      <c r="B147" s="8" t="s">
        <v>64</v>
      </c>
      <c r="C147" s="8" t="s">
        <v>60</v>
      </c>
      <c r="E147" s="12">
        <v>0</v>
      </c>
      <c r="I147" s="116">
        <f>E147+G147</f>
        <v>0</v>
      </c>
      <c r="P147" s="94"/>
      <c r="Q147" s="117">
        <f t="shared" si="17"/>
        <v>0</v>
      </c>
    </row>
    <row r="148" spans="1:17" x14ac:dyDescent="0.2">
      <c r="A148" s="110">
        <v>87</v>
      </c>
      <c r="B148" s="8" t="s">
        <v>64</v>
      </c>
      <c r="C148" s="95" t="s">
        <v>545</v>
      </c>
      <c r="E148" s="12">
        <v>0</v>
      </c>
      <c r="I148" s="116">
        <f>E148+G148</f>
        <v>0</v>
      </c>
      <c r="L148" s="2"/>
      <c r="N148" s="4"/>
      <c r="O148" s="4"/>
      <c r="P148" s="94"/>
      <c r="Q148" s="117">
        <f t="shared" si="17"/>
        <v>0</v>
      </c>
    </row>
    <row r="149" spans="1:17" x14ac:dyDescent="0.2">
      <c r="A149" s="110">
        <v>88</v>
      </c>
      <c r="B149" s="8" t="s">
        <v>64</v>
      </c>
      <c r="C149" s="95" t="s">
        <v>545</v>
      </c>
      <c r="E149" s="12">
        <v>0</v>
      </c>
      <c r="I149" s="116">
        <f>E149+G149</f>
        <v>0</v>
      </c>
      <c r="N149" s="107"/>
      <c r="O149" s="107"/>
      <c r="P149" s="94"/>
      <c r="Q149" s="117">
        <f t="shared" si="17"/>
        <v>0</v>
      </c>
    </row>
    <row r="150" spans="1:17" x14ac:dyDescent="0.2">
      <c r="A150" s="110">
        <v>89</v>
      </c>
      <c r="B150" s="8" t="s">
        <v>64</v>
      </c>
      <c r="C150" s="8" t="s">
        <v>759</v>
      </c>
      <c r="G150" s="12">
        <v>0</v>
      </c>
      <c r="I150" s="116">
        <f>E150+G150</f>
        <v>0</v>
      </c>
      <c r="N150" s="107"/>
      <c r="O150" s="107"/>
      <c r="P150" s="94"/>
      <c r="Q150" s="117">
        <f t="shared" si="17"/>
        <v>0</v>
      </c>
    </row>
    <row r="151" spans="1:17" x14ac:dyDescent="0.2">
      <c r="A151" s="110">
        <v>90</v>
      </c>
      <c r="B151" s="8" t="s">
        <v>64</v>
      </c>
      <c r="C151" s="95" t="s">
        <v>546</v>
      </c>
      <c r="G151" s="12"/>
      <c r="I151" s="116">
        <f>E151+G151</f>
        <v>0</v>
      </c>
      <c r="N151" s="107"/>
      <c r="O151" s="107"/>
      <c r="P151" s="94"/>
      <c r="Q151" s="117">
        <f t="shared" si="17"/>
        <v>0</v>
      </c>
    </row>
    <row r="152" spans="1:17" x14ac:dyDescent="0.2">
      <c r="A152" s="110" t="s">
        <v>309</v>
      </c>
      <c r="B152" s="2"/>
      <c r="C152" s="2" t="s">
        <v>749</v>
      </c>
      <c r="E152" s="140">
        <f>SUM(E147:E151)</f>
        <v>0</v>
      </c>
      <c r="G152" s="140">
        <f>SUM(G147:G151)</f>
        <v>0</v>
      </c>
      <c r="I152" s="140">
        <f>SUM(I147:I151)</f>
        <v>0</v>
      </c>
      <c r="O152" s="123"/>
      <c r="P152" s="94"/>
      <c r="Q152" s="117">
        <f t="shared" si="17"/>
        <v>0</v>
      </c>
    </row>
    <row r="153" spans="1:17" ht="9.9499999999999993" customHeight="1" x14ac:dyDescent="0.2">
      <c r="A153" s="110" t="s">
        <v>309</v>
      </c>
      <c r="B153" s="2"/>
      <c r="C153" s="2"/>
      <c r="I153" s="132"/>
      <c r="O153" s="123"/>
      <c r="P153" s="94"/>
      <c r="Q153" s="117">
        <f t="shared" si="17"/>
        <v>0</v>
      </c>
    </row>
    <row r="154" spans="1:17" x14ac:dyDescent="0.2">
      <c r="A154" s="110" t="s">
        <v>309</v>
      </c>
      <c r="B154" s="10"/>
      <c r="C154" s="10" t="s">
        <v>315</v>
      </c>
      <c r="I154" s="132"/>
      <c r="O154" s="123"/>
      <c r="P154" s="94"/>
      <c r="Q154" s="117">
        <f t="shared" si="17"/>
        <v>0</v>
      </c>
    </row>
    <row r="155" spans="1:17" x14ac:dyDescent="0.2">
      <c r="A155" s="110">
        <v>91</v>
      </c>
      <c r="B155" s="8" t="s">
        <v>66</v>
      </c>
      <c r="C155" s="8" t="s">
        <v>313</v>
      </c>
      <c r="G155" s="12">
        <v>128049</v>
      </c>
      <c r="I155" s="116">
        <f>E155+G155</f>
        <v>128049</v>
      </c>
      <c r="O155" s="123"/>
      <c r="P155" s="94"/>
      <c r="Q155" s="117">
        <f t="shared" si="17"/>
        <v>0</v>
      </c>
    </row>
    <row r="156" spans="1:17" x14ac:dyDescent="0.2">
      <c r="A156" s="110">
        <v>92</v>
      </c>
      <c r="B156" s="8" t="s">
        <v>66</v>
      </c>
      <c r="C156" s="8" t="s">
        <v>314</v>
      </c>
      <c r="G156" s="12">
        <v>0</v>
      </c>
      <c r="I156" s="116">
        <f>E156+G156</f>
        <v>0</v>
      </c>
      <c r="O156" s="123"/>
      <c r="P156" s="94"/>
      <c r="Q156" s="117">
        <f t="shared" si="17"/>
        <v>0</v>
      </c>
    </row>
    <row r="157" spans="1:17" x14ac:dyDescent="0.2">
      <c r="A157" s="110">
        <v>93</v>
      </c>
      <c r="B157" s="8" t="s">
        <v>66</v>
      </c>
      <c r="C157" s="95" t="s">
        <v>547</v>
      </c>
      <c r="G157" s="12"/>
      <c r="I157" s="116">
        <f>E157+G157</f>
        <v>0</v>
      </c>
      <c r="O157" s="123"/>
      <c r="P157" s="94"/>
      <c r="Q157" s="117">
        <f t="shared" si="17"/>
        <v>0</v>
      </c>
    </row>
    <row r="158" spans="1:17" x14ac:dyDescent="0.2">
      <c r="A158" s="110">
        <v>94</v>
      </c>
      <c r="B158" s="8" t="s">
        <v>66</v>
      </c>
      <c r="C158" s="95" t="s">
        <v>547</v>
      </c>
      <c r="G158" s="12"/>
      <c r="I158" s="116">
        <f>E158+G158</f>
        <v>0</v>
      </c>
      <c r="O158" s="123"/>
      <c r="P158" s="94"/>
      <c r="Q158" s="117">
        <f t="shared" si="17"/>
        <v>0</v>
      </c>
    </row>
    <row r="159" spans="1:17" x14ac:dyDescent="0.2">
      <c r="A159" s="110" t="s">
        <v>309</v>
      </c>
      <c r="B159" s="2"/>
      <c r="C159" s="2" t="s">
        <v>750</v>
      </c>
      <c r="E159" s="140">
        <f>SUM(E155:E158)</f>
        <v>0</v>
      </c>
      <c r="G159" s="140">
        <f>SUM(G155:G158)</f>
        <v>128049</v>
      </c>
      <c r="I159" s="140">
        <f>SUM(I155:I158)</f>
        <v>128049</v>
      </c>
      <c r="O159" s="123"/>
      <c r="P159" s="94"/>
      <c r="Q159" s="117">
        <f t="shared" si="17"/>
        <v>0</v>
      </c>
    </row>
    <row r="160" spans="1:17" ht="9.9499999999999993" customHeight="1" x14ac:dyDescent="0.2">
      <c r="A160" s="110" t="s">
        <v>309</v>
      </c>
      <c r="B160" s="2"/>
      <c r="C160" s="2"/>
      <c r="G160" s="132"/>
      <c r="I160" s="132"/>
      <c r="O160" s="123"/>
      <c r="P160" s="94"/>
      <c r="Q160" s="117">
        <f t="shared" si="17"/>
        <v>0</v>
      </c>
    </row>
    <row r="161" spans="1:17" ht="13.5" thickBot="1" x14ac:dyDescent="0.25">
      <c r="A161" s="110" t="s">
        <v>309</v>
      </c>
      <c r="B161" s="2" t="s">
        <v>316</v>
      </c>
      <c r="D161" s="2"/>
      <c r="E161" s="125">
        <f>E152+E159</f>
        <v>0</v>
      </c>
      <c r="F161" s="118"/>
      <c r="G161" s="125">
        <f>G152+G159</f>
        <v>128049</v>
      </c>
      <c r="H161" s="2"/>
      <c r="I161" s="125">
        <f>I152+I159</f>
        <v>128049</v>
      </c>
      <c r="O161" s="118"/>
      <c r="P161" s="94"/>
      <c r="Q161" s="117">
        <f t="shared" si="17"/>
        <v>0</v>
      </c>
    </row>
    <row r="162" spans="1:17" ht="13.5" thickTop="1" x14ac:dyDescent="0.2">
      <c r="A162" s="110" t="s">
        <v>309</v>
      </c>
      <c r="P162" s="94"/>
      <c r="Q162" s="117">
        <f t="shared" si="17"/>
        <v>0</v>
      </c>
    </row>
    <row r="163" spans="1:17" ht="15.75" x14ac:dyDescent="0.25">
      <c r="A163" s="110" t="s">
        <v>309</v>
      </c>
      <c r="B163" s="15" t="s">
        <v>317</v>
      </c>
      <c r="P163" s="94"/>
      <c r="Q163" s="117">
        <f t="shared" si="17"/>
        <v>0</v>
      </c>
    </row>
    <row r="164" spans="1:17" x14ac:dyDescent="0.2">
      <c r="A164" s="110" t="s">
        <v>309</v>
      </c>
      <c r="B164" s="2" t="s">
        <v>41</v>
      </c>
      <c r="P164" s="94"/>
      <c r="Q164" s="117">
        <f t="shared" si="17"/>
        <v>0</v>
      </c>
    </row>
    <row r="165" spans="1:17" x14ac:dyDescent="0.2">
      <c r="A165" s="110" t="s">
        <v>309</v>
      </c>
      <c r="B165" s="10"/>
      <c r="C165" s="10" t="s">
        <v>318</v>
      </c>
      <c r="E165" s="4" t="s">
        <v>85</v>
      </c>
      <c r="F165" s="2"/>
      <c r="G165" s="4" t="s">
        <v>86</v>
      </c>
      <c r="I165" s="4" t="s">
        <v>69</v>
      </c>
      <c r="P165" s="94"/>
      <c r="Q165" s="117">
        <f t="shared" si="17"/>
        <v>0</v>
      </c>
    </row>
    <row r="166" spans="1:17" x14ac:dyDescent="0.2">
      <c r="A166" s="110">
        <v>95</v>
      </c>
      <c r="B166" s="8" t="s">
        <v>61</v>
      </c>
      <c r="C166" s="8" t="s">
        <v>498</v>
      </c>
      <c r="E166" s="11">
        <v>57271</v>
      </c>
      <c r="G166" s="11"/>
      <c r="I166" s="123">
        <f>E166+G166</f>
        <v>57271</v>
      </c>
      <c r="P166" s="94" t="str">
        <f>IF(AND(E166&gt;0,RIGHT($D$4,1)="H"),"ERROR - All Expenditure for 100% LBA Schools MUST be Local",IF(AND(G166&gt;0,RIGHT($D$4,1)&lt;&gt;"H"),"ERROR - Payroll Expenditure MUST be Central",""))</f>
        <v/>
      </c>
      <c r="Q166" s="117">
        <f t="shared" si="17"/>
        <v>0</v>
      </c>
    </row>
    <row r="167" spans="1:17" x14ac:dyDescent="0.2">
      <c r="A167" s="110">
        <v>96</v>
      </c>
      <c r="B167" s="8" t="s">
        <v>61</v>
      </c>
      <c r="C167" s="8" t="s">
        <v>499</v>
      </c>
      <c r="E167" s="11">
        <v>6992</v>
      </c>
      <c r="G167" s="11"/>
      <c r="I167" s="123">
        <f>E167+G167</f>
        <v>6992</v>
      </c>
      <c r="P167" s="94" t="str">
        <f>IF(AND(E167&gt;0,RIGHT($D$4,1)="H"),"ERROR - All Expenditure for 100% LBA Schools MUST be Local",IF(AND(G167&gt;0,RIGHT($D$4,1)&lt;&gt;"H"),"ERROR - Payroll Expenditure MUST be Central",""))</f>
        <v/>
      </c>
      <c r="Q167" s="117">
        <f t="shared" si="17"/>
        <v>0</v>
      </c>
    </row>
    <row r="168" spans="1:17" x14ac:dyDescent="0.2">
      <c r="A168" s="110" t="s">
        <v>309</v>
      </c>
      <c r="B168" s="2"/>
      <c r="C168" s="2" t="s">
        <v>751</v>
      </c>
      <c r="E168" s="140">
        <f>SUM(E166:E167)</f>
        <v>64263</v>
      </c>
      <c r="G168" s="140">
        <f>SUM(G166:G167)</f>
        <v>0</v>
      </c>
      <c r="I168" s="140">
        <f>SUM(I166:I167)</f>
        <v>64263</v>
      </c>
      <c r="O168" s="123"/>
      <c r="P168" s="94"/>
      <c r="Q168" s="117">
        <f t="shared" si="17"/>
        <v>0</v>
      </c>
    </row>
    <row r="169" spans="1:17" ht="9.9499999999999993" customHeight="1" x14ac:dyDescent="0.2">
      <c r="A169" s="110" t="s">
        <v>309</v>
      </c>
      <c r="B169" s="8"/>
      <c r="C169" s="2"/>
      <c r="E169" s="141"/>
      <c r="G169" s="141"/>
      <c r="I169" s="123"/>
      <c r="O169" s="123"/>
      <c r="P169" s="94"/>
      <c r="Q169" s="117">
        <f t="shared" si="17"/>
        <v>0</v>
      </c>
    </row>
    <row r="170" spans="1:17" x14ac:dyDescent="0.2">
      <c r="A170" s="110" t="s">
        <v>309</v>
      </c>
      <c r="B170" s="10"/>
      <c r="C170" s="10" t="s">
        <v>319</v>
      </c>
      <c r="E170" s="4"/>
      <c r="F170" s="2"/>
      <c r="G170" s="4"/>
      <c r="I170" s="4"/>
      <c r="P170" s="94"/>
      <c r="Q170" s="117">
        <f t="shared" si="17"/>
        <v>0</v>
      </c>
    </row>
    <row r="171" spans="1:17" x14ac:dyDescent="0.2">
      <c r="A171" s="110">
        <v>97</v>
      </c>
      <c r="B171" s="8" t="s">
        <v>62</v>
      </c>
      <c r="C171" s="8" t="s">
        <v>322</v>
      </c>
      <c r="E171" s="11"/>
      <c r="G171" s="11"/>
      <c r="I171" s="123">
        <f>E171+G171</f>
        <v>0</v>
      </c>
      <c r="P171" s="94" t="str">
        <f>IF(AND(E171&gt;0,RIGHT($D$4,1)="H"),"ERROR - All Expenditure for 100% LBA Schools MUST be Local","")</f>
        <v/>
      </c>
      <c r="Q171" s="117">
        <f t="shared" si="17"/>
        <v>0</v>
      </c>
    </row>
    <row r="172" spans="1:17" x14ac:dyDescent="0.2">
      <c r="A172" s="110">
        <v>98</v>
      </c>
      <c r="B172" s="8" t="s">
        <v>62</v>
      </c>
      <c r="C172" s="8" t="s">
        <v>320</v>
      </c>
      <c r="E172" s="11"/>
      <c r="G172" s="11"/>
      <c r="I172" s="123">
        <f>E172+G172</f>
        <v>0</v>
      </c>
      <c r="P172" s="94" t="str">
        <f>IF(AND(E172&gt;0,RIGHT($D$4,1)="H"),"ERROR - All Expenditure for 100% LBA Schools MUST be Local","")</f>
        <v/>
      </c>
      <c r="Q172" s="117">
        <f t="shared" si="17"/>
        <v>0</v>
      </c>
    </row>
    <row r="173" spans="1:17" x14ac:dyDescent="0.2">
      <c r="A173" s="110">
        <v>99</v>
      </c>
      <c r="B173" s="8" t="s">
        <v>62</v>
      </c>
      <c r="C173" s="8" t="s">
        <v>321</v>
      </c>
      <c r="E173" s="11"/>
      <c r="G173" s="11">
        <v>100</v>
      </c>
      <c r="I173" s="123">
        <f>E173+G173</f>
        <v>100</v>
      </c>
      <c r="P173" s="94" t="str">
        <f>IF(AND(E173&gt;0,RIGHT($D$4,1)="H"),"ERROR - All Expenditure for 100% LBA Schools MUST be Local","")</f>
        <v/>
      </c>
      <c r="Q173" s="117">
        <f t="shared" si="17"/>
        <v>0</v>
      </c>
    </row>
    <row r="174" spans="1:17" x14ac:dyDescent="0.2">
      <c r="A174" s="110">
        <v>100</v>
      </c>
      <c r="B174" s="8" t="s">
        <v>62</v>
      </c>
      <c r="C174" s="95" t="s">
        <v>550</v>
      </c>
      <c r="E174" s="11"/>
      <c r="G174" s="11"/>
      <c r="I174" s="123">
        <f>E174+G174</f>
        <v>0</v>
      </c>
      <c r="P174" s="94" t="str">
        <f>IF(AND(E174&gt;0,RIGHT($D$4,1)="H"),"ERROR - All Expenditure for 100% LBA Schools MUST be Local","")</f>
        <v/>
      </c>
      <c r="Q174" s="117">
        <f t="shared" si="17"/>
        <v>0</v>
      </c>
    </row>
    <row r="175" spans="1:17" x14ac:dyDescent="0.2">
      <c r="A175" s="110">
        <v>101</v>
      </c>
      <c r="B175" s="8" t="s">
        <v>62</v>
      </c>
      <c r="C175" s="95" t="s">
        <v>550</v>
      </c>
      <c r="E175" s="11"/>
      <c r="G175" s="11"/>
      <c r="I175" s="123">
        <f>E175+G175</f>
        <v>0</v>
      </c>
      <c r="P175" s="94" t="str">
        <f>IF(AND(E175&gt;0,RIGHT($D$4,1)="H"),"ERROR - All Expenditure for 100% LBA Schools MUST be Local","")</f>
        <v/>
      </c>
      <c r="Q175" s="117">
        <f t="shared" si="17"/>
        <v>0</v>
      </c>
    </row>
    <row r="176" spans="1:17" ht="9.9499999999999993" customHeight="1" x14ac:dyDescent="0.2">
      <c r="A176" s="110" t="s">
        <v>309</v>
      </c>
      <c r="B176" s="8"/>
      <c r="C176" s="2"/>
      <c r="E176" s="141"/>
      <c r="G176" s="141"/>
      <c r="I176" s="123"/>
      <c r="P176" s="94"/>
      <c r="Q176" s="117">
        <f t="shared" si="17"/>
        <v>0</v>
      </c>
    </row>
    <row r="177" spans="1:17" x14ac:dyDescent="0.2">
      <c r="A177" s="110" t="s">
        <v>309</v>
      </c>
      <c r="B177" s="2" t="s">
        <v>42</v>
      </c>
      <c r="P177" s="94"/>
      <c r="Q177" s="117">
        <f t="shared" si="17"/>
        <v>0</v>
      </c>
    </row>
    <row r="178" spans="1:17" x14ac:dyDescent="0.2">
      <c r="A178" s="110" t="s">
        <v>309</v>
      </c>
      <c r="B178" s="10"/>
      <c r="C178" s="10" t="s">
        <v>323</v>
      </c>
      <c r="E178" s="4"/>
      <c r="F178" s="2"/>
      <c r="G178" s="4"/>
      <c r="I178" s="4"/>
      <c r="P178" s="94"/>
      <c r="Q178" s="117">
        <f t="shared" si="17"/>
        <v>0</v>
      </c>
    </row>
    <row r="179" spans="1:17" x14ac:dyDescent="0.2">
      <c r="A179" s="110">
        <v>102</v>
      </c>
      <c r="B179" s="8" t="s">
        <v>62</v>
      </c>
      <c r="C179" s="8" t="s">
        <v>324</v>
      </c>
      <c r="E179" s="11"/>
      <c r="G179" s="11"/>
      <c r="I179" s="123">
        <f t="shared" ref="I179:I185" si="18">E179+G179</f>
        <v>0</v>
      </c>
      <c r="P179" s="94" t="str">
        <f t="shared" ref="P179:P185" si="19">IF(AND(E179&gt;0,RIGHT($D$4,1)="H"),"ERROR - All Expenditure for 100% LBA Schools MUST be Local","")</f>
        <v/>
      </c>
      <c r="Q179" s="117">
        <f t="shared" si="17"/>
        <v>0</v>
      </c>
    </row>
    <row r="180" spans="1:17" x14ac:dyDescent="0.2">
      <c r="A180" s="110">
        <v>103</v>
      </c>
      <c r="B180" s="8" t="s">
        <v>62</v>
      </c>
      <c r="C180" s="8" t="s">
        <v>325</v>
      </c>
      <c r="E180" s="11"/>
      <c r="G180" s="11"/>
      <c r="I180" s="123">
        <f t="shared" si="18"/>
        <v>0</v>
      </c>
      <c r="P180" s="94" t="str">
        <f t="shared" si="19"/>
        <v/>
      </c>
      <c r="Q180" s="117">
        <f t="shared" si="17"/>
        <v>0</v>
      </c>
    </row>
    <row r="181" spans="1:17" x14ac:dyDescent="0.2">
      <c r="A181" s="110">
        <v>104</v>
      </c>
      <c r="B181" s="8" t="s">
        <v>62</v>
      </c>
      <c r="C181" s="8" t="s">
        <v>326</v>
      </c>
      <c r="E181" s="11"/>
      <c r="G181" s="11">
        <v>1300</v>
      </c>
      <c r="I181" s="123">
        <f t="shared" si="18"/>
        <v>1300</v>
      </c>
      <c r="P181" s="94" t="str">
        <f t="shared" si="19"/>
        <v/>
      </c>
      <c r="Q181" s="117">
        <f t="shared" si="17"/>
        <v>0</v>
      </c>
    </row>
    <row r="182" spans="1:17" x14ac:dyDescent="0.2">
      <c r="A182" s="110">
        <v>105</v>
      </c>
      <c r="B182" s="8" t="s">
        <v>62</v>
      </c>
      <c r="C182" s="8" t="s">
        <v>327</v>
      </c>
      <c r="E182" s="11"/>
      <c r="G182" s="11">
        <v>1100</v>
      </c>
      <c r="I182" s="123">
        <f t="shared" si="18"/>
        <v>1100</v>
      </c>
      <c r="P182" s="94" t="str">
        <f t="shared" si="19"/>
        <v/>
      </c>
      <c r="Q182" s="117">
        <f t="shared" si="17"/>
        <v>0</v>
      </c>
    </row>
    <row r="183" spans="1:17" x14ac:dyDescent="0.2">
      <c r="A183" s="110">
        <v>106</v>
      </c>
      <c r="B183" s="8" t="s">
        <v>62</v>
      </c>
      <c r="C183" s="8" t="s">
        <v>40</v>
      </c>
      <c r="E183" s="11"/>
      <c r="G183" s="11"/>
      <c r="I183" s="123">
        <f t="shared" si="18"/>
        <v>0</v>
      </c>
      <c r="P183" s="94" t="str">
        <f t="shared" si="19"/>
        <v/>
      </c>
      <c r="Q183" s="117">
        <f t="shared" si="17"/>
        <v>0</v>
      </c>
    </row>
    <row r="184" spans="1:17" x14ac:dyDescent="0.2">
      <c r="A184" s="110">
        <v>107</v>
      </c>
      <c r="B184" s="8" t="s">
        <v>62</v>
      </c>
      <c r="C184" s="95" t="s">
        <v>854</v>
      </c>
      <c r="E184" s="11"/>
      <c r="G184" s="11"/>
      <c r="I184" s="123">
        <f t="shared" si="18"/>
        <v>0</v>
      </c>
      <c r="P184" s="94" t="str">
        <f t="shared" si="19"/>
        <v/>
      </c>
      <c r="Q184" s="117">
        <f t="shared" si="17"/>
        <v>0</v>
      </c>
    </row>
    <row r="185" spans="1:17" x14ac:dyDescent="0.2">
      <c r="A185" s="110">
        <v>108</v>
      </c>
      <c r="B185" s="8" t="s">
        <v>62</v>
      </c>
      <c r="C185" s="95" t="s">
        <v>551</v>
      </c>
      <c r="E185" s="11"/>
      <c r="G185" s="11"/>
      <c r="I185" s="123">
        <f t="shared" si="18"/>
        <v>0</v>
      </c>
      <c r="P185" s="94" t="str">
        <f t="shared" si="19"/>
        <v/>
      </c>
      <c r="Q185" s="117">
        <f t="shared" si="17"/>
        <v>0</v>
      </c>
    </row>
    <row r="186" spans="1:17" ht="9.9499999999999993" customHeight="1" x14ac:dyDescent="0.2">
      <c r="A186" s="110" t="s">
        <v>309</v>
      </c>
      <c r="P186" s="94"/>
      <c r="Q186" s="117">
        <f t="shared" si="17"/>
        <v>0</v>
      </c>
    </row>
    <row r="187" spans="1:17" x14ac:dyDescent="0.2">
      <c r="A187" s="110" t="s">
        <v>309</v>
      </c>
      <c r="B187" s="2" t="s">
        <v>115</v>
      </c>
      <c r="E187" s="4"/>
      <c r="F187" s="2"/>
      <c r="G187" s="4"/>
      <c r="I187" s="4"/>
      <c r="P187" s="94"/>
      <c r="Q187" s="117">
        <f t="shared" si="17"/>
        <v>0</v>
      </c>
    </row>
    <row r="188" spans="1:17" x14ac:dyDescent="0.2">
      <c r="A188" s="110" t="s">
        <v>309</v>
      </c>
      <c r="B188" s="10"/>
      <c r="C188" s="10" t="s">
        <v>323</v>
      </c>
      <c r="E188" s="4"/>
      <c r="F188" s="2"/>
      <c r="G188" s="4"/>
      <c r="I188" s="4"/>
      <c r="P188" s="94"/>
      <c r="Q188" s="117">
        <f t="shared" si="17"/>
        <v>0</v>
      </c>
    </row>
    <row r="189" spans="1:17" x14ac:dyDescent="0.2">
      <c r="A189" s="110">
        <v>109</v>
      </c>
      <c r="B189" s="8" t="s">
        <v>62</v>
      </c>
      <c r="C189" s="8" t="s">
        <v>328</v>
      </c>
      <c r="E189" s="11"/>
      <c r="G189" s="11"/>
      <c r="I189" s="123">
        <f t="shared" ref="I189:I197" si="20">E189+G189</f>
        <v>0</v>
      </c>
      <c r="P189" s="94" t="str">
        <f t="shared" ref="P189:P197" si="21">IF(AND(E189&gt;0,RIGHT($D$4,1)="H"),"ERROR - All Expenditure for 100% LBA Schools MUST be Local","")</f>
        <v/>
      </c>
      <c r="Q189" s="117">
        <f t="shared" si="17"/>
        <v>0</v>
      </c>
    </row>
    <row r="190" spans="1:17" x14ac:dyDescent="0.2">
      <c r="A190" s="110">
        <v>110</v>
      </c>
      <c r="B190" s="8" t="s">
        <v>62</v>
      </c>
      <c r="C190" s="8" t="s">
        <v>329</v>
      </c>
      <c r="E190" s="11"/>
      <c r="G190" s="11"/>
      <c r="I190" s="123">
        <f t="shared" si="20"/>
        <v>0</v>
      </c>
      <c r="P190" s="94" t="str">
        <f t="shared" si="21"/>
        <v/>
      </c>
      <c r="Q190" s="117">
        <f t="shared" si="17"/>
        <v>0</v>
      </c>
    </row>
    <row r="191" spans="1:17" x14ac:dyDescent="0.2">
      <c r="A191" s="110">
        <v>111</v>
      </c>
      <c r="B191" s="8" t="s">
        <v>62</v>
      </c>
      <c r="C191" s="8" t="s">
        <v>330</v>
      </c>
      <c r="E191" s="11"/>
      <c r="G191" s="11"/>
      <c r="I191" s="123">
        <f t="shared" si="20"/>
        <v>0</v>
      </c>
      <c r="P191" s="94" t="str">
        <f t="shared" si="21"/>
        <v/>
      </c>
      <c r="Q191" s="117">
        <f t="shared" si="17"/>
        <v>0</v>
      </c>
    </row>
    <row r="192" spans="1:17" x14ac:dyDescent="0.2">
      <c r="A192" s="110">
        <v>112</v>
      </c>
      <c r="B192" s="8" t="s">
        <v>62</v>
      </c>
      <c r="C192" s="8" t="s">
        <v>331</v>
      </c>
      <c r="E192" s="11"/>
      <c r="G192" s="11"/>
      <c r="I192" s="123">
        <f t="shared" si="20"/>
        <v>0</v>
      </c>
      <c r="P192" s="94" t="str">
        <f t="shared" si="21"/>
        <v/>
      </c>
      <c r="Q192" s="117">
        <f t="shared" si="17"/>
        <v>0</v>
      </c>
    </row>
    <row r="193" spans="1:17" x14ac:dyDescent="0.2">
      <c r="A193" s="110">
        <v>113</v>
      </c>
      <c r="B193" s="8" t="s">
        <v>62</v>
      </c>
      <c r="C193" s="8" t="s">
        <v>332</v>
      </c>
      <c r="E193" s="11"/>
      <c r="G193" s="11"/>
      <c r="I193" s="123">
        <f t="shared" si="20"/>
        <v>0</v>
      </c>
      <c r="P193" s="94" t="str">
        <f t="shared" si="21"/>
        <v/>
      </c>
      <c r="Q193" s="117">
        <f t="shared" si="17"/>
        <v>0</v>
      </c>
    </row>
    <row r="194" spans="1:17" x14ac:dyDescent="0.2">
      <c r="A194" s="110">
        <v>114</v>
      </c>
      <c r="B194" s="8" t="s">
        <v>62</v>
      </c>
      <c r="C194" s="95" t="s">
        <v>122</v>
      </c>
      <c r="E194" s="11"/>
      <c r="G194" s="11">
        <v>8333</v>
      </c>
      <c r="I194" s="123">
        <f t="shared" si="20"/>
        <v>8333</v>
      </c>
      <c r="P194" s="94" t="str">
        <f t="shared" si="21"/>
        <v/>
      </c>
      <c r="Q194" s="117">
        <f t="shared" si="17"/>
        <v>0</v>
      </c>
    </row>
    <row r="195" spans="1:17" x14ac:dyDescent="0.2">
      <c r="A195" s="110">
        <v>115</v>
      </c>
      <c r="B195" s="8" t="s">
        <v>62</v>
      </c>
      <c r="C195" s="95" t="s">
        <v>552</v>
      </c>
      <c r="E195" s="11"/>
      <c r="G195" s="11"/>
      <c r="I195" s="123">
        <f t="shared" si="20"/>
        <v>0</v>
      </c>
      <c r="P195" s="94" t="str">
        <f t="shared" si="21"/>
        <v/>
      </c>
      <c r="Q195" s="117">
        <f t="shared" si="17"/>
        <v>0</v>
      </c>
    </row>
    <row r="196" spans="1:17" x14ac:dyDescent="0.2">
      <c r="A196" s="110">
        <v>116</v>
      </c>
      <c r="B196" s="8" t="s">
        <v>62</v>
      </c>
      <c r="C196" s="95" t="s">
        <v>552</v>
      </c>
      <c r="E196" s="11"/>
      <c r="G196" s="11"/>
      <c r="I196" s="123">
        <f t="shared" si="20"/>
        <v>0</v>
      </c>
      <c r="P196" s="94" t="str">
        <f t="shared" si="21"/>
        <v/>
      </c>
      <c r="Q196" s="117">
        <f t="shared" si="17"/>
        <v>0</v>
      </c>
    </row>
    <row r="197" spans="1:17" x14ac:dyDescent="0.2">
      <c r="A197" s="110">
        <v>117</v>
      </c>
      <c r="B197" s="8" t="s">
        <v>62</v>
      </c>
      <c r="C197" s="95" t="s">
        <v>552</v>
      </c>
      <c r="E197" s="11"/>
      <c r="G197" s="11"/>
      <c r="I197" s="123">
        <f t="shared" si="20"/>
        <v>0</v>
      </c>
      <c r="P197" s="94" t="str">
        <f t="shared" si="21"/>
        <v/>
      </c>
      <c r="Q197" s="117">
        <f t="shared" si="17"/>
        <v>0</v>
      </c>
    </row>
    <row r="198" spans="1:17" x14ac:dyDescent="0.2">
      <c r="A198" s="110" t="s">
        <v>309</v>
      </c>
      <c r="B198" s="2"/>
      <c r="C198" s="2" t="s">
        <v>752</v>
      </c>
      <c r="E198" s="140">
        <f>SUM(E171:E197)</f>
        <v>0</v>
      </c>
      <c r="G198" s="140">
        <f>SUM(G171:G197)</f>
        <v>10833</v>
      </c>
      <c r="I198" s="140">
        <f>SUM(I171:I197)</f>
        <v>10833</v>
      </c>
      <c r="O198" s="123"/>
      <c r="P198" s="94"/>
      <c r="Q198" s="117">
        <f t="shared" si="17"/>
        <v>0</v>
      </c>
    </row>
    <row r="199" spans="1:17" ht="9.9499999999999993" customHeight="1" x14ac:dyDescent="0.2">
      <c r="A199" s="110" t="s">
        <v>309</v>
      </c>
      <c r="B199" s="2"/>
      <c r="C199" s="2"/>
      <c r="I199" s="123"/>
      <c r="O199" s="123"/>
      <c r="P199" s="94"/>
      <c r="Q199" s="117">
        <f t="shared" si="17"/>
        <v>0</v>
      </c>
    </row>
    <row r="200" spans="1:17" ht="13.5" thickBot="1" x14ac:dyDescent="0.25">
      <c r="A200" s="110" t="s">
        <v>309</v>
      </c>
      <c r="B200" s="2" t="s">
        <v>348</v>
      </c>
      <c r="D200" s="2"/>
      <c r="E200" s="125">
        <f>E168+E198</f>
        <v>64263</v>
      </c>
      <c r="F200" s="118"/>
      <c r="G200" s="125">
        <f>G168+G198</f>
        <v>10833</v>
      </c>
      <c r="H200" s="2"/>
      <c r="I200" s="125">
        <f>I168+I198</f>
        <v>75096</v>
      </c>
      <c r="O200" s="118"/>
      <c r="P200" s="94"/>
      <c r="Q200" s="117">
        <f t="shared" si="17"/>
        <v>0</v>
      </c>
    </row>
    <row r="201" spans="1:17" ht="9.9499999999999993" customHeight="1" thickTop="1" x14ac:dyDescent="0.2">
      <c r="A201" s="110" t="s">
        <v>309</v>
      </c>
      <c r="P201" s="94"/>
      <c r="Q201" s="117">
        <f t="shared" si="17"/>
        <v>0</v>
      </c>
    </row>
    <row r="202" spans="1:17" x14ac:dyDescent="0.2">
      <c r="A202" s="110" t="s">
        <v>309</v>
      </c>
      <c r="B202" s="2" t="s">
        <v>349</v>
      </c>
      <c r="P202" s="94"/>
      <c r="Q202" s="117">
        <f t="shared" si="17"/>
        <v>0</v>
      </c>
    </row>
    <row r="203" spans="1:17" ht="13.5" thickBot="1" x14ac:dyDescent="0.25">
      <c r="A203" s="110">
        <v>118</v>
      </c>
      <c r="B203" s="8" t="s">
        <v>65</v>
      </c>
      <c r="C203" s="8" t="s">
        <v>361</v>
      </c>
      <c r="I203" s="133">
        <f>I143+I161-I200</f>
        <v>195824</v>
      </c>
      <c r="K203" s="4" t="str">
        <f>IF(I203&gt;=0,"Surplus","Deficit")</f>
        <v>Surplus</v>
      </c>
      <c r="P203" s="94"/>
      <c r="Q203" s="117">
        <f t="shared" si="17"/>
        <v>0</v>
      </c>
    </row>
    <row r="204" spans="1:17" ht="9.9499999999999993" customHeight="1" thickTop="1" thickBot="1" x14ac:dyDescent="0.25">
      <c r="A204" s="110" t="s">
        <v>309</v>
      </c>
      <c r="B204" s="8"/>
      <c r="C204" s="8"/>
      <c r="I204" s="123"/>
      <c r="P204" s="94"/>
      <c r="Q204" s="117">
        <f t="shared" si="17"/>
        <v>0</v>
      </c>
    </row>
    <row r="205" spans="1:17" ht="13.5" thickBot="1" x14ac:dyDescent="0.25">
      <c r="A205" s="110" t="s">
        <v>309</v>
      </c>
      <c r="B205" s="134" t="s">
        <v>336</v>
      </c>
      <c r="C205" s="135"/>
      <c r="D205" s="135"/>
      <c r="E205" s="135"/>
      <c r="F205" s="135"/>
      <c r="G205" s="135"/>
      <c r="H205" s="135"/>
      <c r="I205" s="136">
        <f>I203-I143</f>
        <v>52953</v>
      </c>
      <c r="K205" s="4" t="str">
        <f>IF(I205&gt;=0,"Surplus","Deficit")</f>
        <v>Surplus</v>
      </c>
      <c r="P205" s="94"/>
      <c r="Q205" s="137">
        <f>SUM(Q141:Q204)</f>
        <v>0</v>
      </c>
    </row>
    <row r="206" spans="1:17" x14ac:dyDescent="0.2">
      <c r="A206" s="110" t="s">
        <v>309</v>
      </c>
      <c r="B206" s="2"/>
      <c r="I206" s="142"/>
      <c r="K206" s="2"/>
      <c r="P206" s="94"/>
      <c r="Q206" s="117">
        <f t="shared" si="17"/>
        <v>0</v>
      </c>
    </row>
    <row r="207" spans="1:17" x14ac:dyDescent="0.2">
      <c r="A207" s="110" t="s">
        <v>309</v>
      </c>
      <c r="B207" s="201" t="str">
        <f>IF(G4="VA","VA Schools - Capital funds/expenditure administered by the Governors or Diocese should NOT be included below:","")</f>
        <v>VA Schools - Capital funds/expenditure administered by the Governors or Diocese should NOT be included below:</v>
      </c>
      <c r="P207" s="94"/>
      <c r="Q207" s="117">
        <f t="shared" ref="Q207:Q237" si="22">IF(LEFT(P207,5)="ERROR",1,0)</f>
        <v>0</v>
      </c>
    </row>
    <row r="208" spans="1:17" ht="15.75" x14ac:dyDescent="0.25">
      <c r="A208" s="110" t="s">
        <v>309</v>
      </c>
      <c r="B208" s="15" t="s">
        <v>337</v>
      </c>
      <c r="P208" s="94"/>
      <c r="Q208" s="117">
        <f t="shared" si="22"/>
        <v>0</v>
      </c>
    </row>
    <row r="209" spans="1:17" ht="15.75" x14ac:dyDescent="0.25">
      <c r="A209" s="110" t="s">
        <v>309</v>
      </c>
      <c r="B209" s="15" t="s">
        <v>310</v>
      </c>
      <c r="E209" s="4" t="s">
        <v>85</v>
      </c>
      <c r="F209" s="4"/>
      <c r="G209" s="4" t="s">
        <v>86</v>
      </c>
      <c r="H209" s="4"/>
      <c r="I209" s="4" t="s">
        <v>69</v>
      </c>
      <c r="P209" s="94"/>
      <c r="Q209" s="117">
        <f t="shared" si="22"/>
        <v>0</v>
      </c>
    </row>
    <row r="210" spans="1:17" x14ac:dyDescent="0.2">
      <c r="A210" s="110">
        <v>119</v>
      </c>
      <c r="B210" s="8" t="s">
        <v>543</v>
      </c>
      <c r="C210" s="8" t="s">
        <v>390</v>
      </c>
      <c r="E210" s="11"/>
      <c r="F210" s="123"/>
      <c r="G210" s="123"/>
      <c r="I210" s="123">
        <f>E210+G210</f>
        <v>0</v>
      </c>
      <c r="P210" s="94"/>
      <c r="Q210" s="117">
        <f t="shared" si="22"/>
        <v>0</v>
      </c>
    </row>
    <row r="211" spans="1:17" x14ac:dyDescent="0.2">
      <c r="A211" s="110">
        <v>120</v>
      </c>
      <c r="B211" s="8" t="s">
        <v>544</v>
      </c>
      <c r="C211" s="8" t="s">
        <v>338</v>
      </c>
      <c r="E211" s="11"/>
      <c r="F211" s="123"/>
      <c r="G211" s="123"/>
      <c r="I211" s="123">
        <f>E211+G211</f>
        <v>0</v>
      </c>
      <c r="P211" s="94"/>
      <c r="Q211" s="117">
        <f t="shared" si="22"/>
        <v>0</v>
      </c>
    </row>
    <row r="212" spans="1:17" ht="13.5" thickBot="1" x14ac:dyDescent="0.25">
      <c r="A212" s="110" t="s">
        <v>309</v>
      </c>
      <c r="B212" s="2" t="s">
        <v>554</v>
      </c>
      <c r="C212" s="2"/>
      <c r="E212" s="125">
        <f>SUM(E210:E211)</f>
        <v>0</v>
      </c>
      <c r="F212" s="123"/>
      <c r="G212" s="125">
        <f>SUM(G210:G211)</f>
        <v>0</v>
      </c>
      <c r="I212" s="125">
        <f>SUM(I210:I211)</f>
        <v>0</v>
      </c>
      <c r="P212" s="94"/>
      <c r="Q212" s="117">
        <f t="shared" si="22"/>
        <v>0</v>
      </c>
    </row>
    <row r="213" spans="1:17" ht="13.5" thickTop="1" x14ac:dyDescent="0.2">
      <c r="A213" s="110" t="s">
        <v>309</v>
      </c>
      <c r="E213" s="123"/>
      <c r="F213" s="123"/>
      <c r="G213" s="123"/>
      <c r="P213" s="94"/>
      <c r="Q213" s="117">
        <f t="shared" si="22"/>
        <v>0</v>
      </c>
    </row>
    <row r="214" spans="1:17" ht="15.75" x14ac:dyDescent="0.25">
      <c r="A214" s="110" t="s">
        <v>309</v>
      </c>
      <c r="B214" s="15" t="s">
        <v>339</v>
      </c>
      <c r="E214" s="123"/>
      <c r="F214" s="123"/>
      <c r="G214" s="123"/>
      <c r="I214" s="123"/>
      <c r="P214" s="94"/>
      <c r="Q214" s="117">
        <f t="shared" si="22"/>
        <v>0</v>
      </c>
    </row>
    <row r="215" spans="1:17" x14ac:dyDescent="0.2">
      <c r="A215" s="110">
        <v>121</v>
      </c>
      <c r="B215" s="8" t="s">
        <v>43</v>
      </c>
      <c r="C215" s="8" t="s">
        <v>340</v>
      </c>
      <c r="E215" s="11"/>
      <c r="F215" s="123"/>
      <c r="G215" s="123"/>
      <c r="I215" s="123">
        <f>E215+G215</f>
        <v>0</v>
      </c>
      <c r="P215" s="94"/>
      <c r="Q215" s="117">
        <f t="shared" si="22"/>
        <v>0</v>
      </c>
    </row>
    <row r="216" spans="1:17" x14ac:dyDescent="0.2">
      <c r="A216" s="110">
        <v>122</v>
      </c>
      <c r="B216" s="8" t="s">
        <v>43</v>
      </c>
      <c r="C216" s="8" t="s">
        <v>342</v>
      </c>
      <c r="E216" s="11"/>
      <c r="F216" s="123"/>
      <c r="G216" s="123"/>
      <c r="I216" s="123">
        <f>E216+G216</f>
        <v>0</v>
      </c>
      <c r="P216" s="94"/>
      <c r="Q216" s="117">
        <f t="shared" si="22"/>
        <v>0</v>
      </c>
    </row>
    <row r="217" spans="1:17" x14ac:dyDescent="0.2">
      <c r="A217" s="110" t="s">
        <v>309</v>
      </c>
      <c r="B217" s="2"/>
      <c r="C217" s="2" t="s">
        <v>59</v>
      </c>
      <c r="E217" s="121">
        <f>SUM(E215:E216)</f>
        <v>0</v>
      </c>
      <c r="F217" s="123"/>
      <c r="G217" s="121">
        <f>SUM(G215:G216)</f>
        <v>0</v>
      </c>
      <c r="I217" s="121">
        <f>SUM(I215:I216)</f>
        <v>0</v>
      </c>
      <c r="P217" s="94"/>
      <c r="Q217" s="117">
        <f t="shared" si="22"/>
        <v>0</v>
      </c>
    </row>
    <row r="218" spans="1:17" x14ac:dyDescent="0.2">
      <c r="A218" s="110" t="s">
        <v>309</v>
      </c>
      <c r="E218" s="123"/>
      <c r="F218" s="123"/>
      <c r="G218" s="123"/>
      <c r="I218" s="123"/>
      <c r="P218" s="94"/>
      <c r="Q218" s="117">
        <f t="shared" si="22"/>
        <v>0</v>
      </c>
    </row>
    <row r="219" spans="1:17" x14ac:dyDescent="0.2">
      <c r="A219" s="110">
        <v>123</v>
      </c>
      <c r="B219" s="8" t="s">
        <v>44</v>
      </c>
      <c r="C219" s="8" t="s">
        <v>341</v>
      </c>
      <c r="E219" s="123"/>
      <c r="F219" s="123"/>
      <c r="G219" s="11"/>
      <c r="I219" s="123">
        <f>E219+G219</f>
        <v>0</v>
      </c>
      <c r="P219" s="94"/>
      <c r="Q219" s="117">
        <f t="shared" si="22"/>
        <v>0</v>
      </c>
    </row>
    <row r="220" spans="1:17" x14ac:dyDescent="0.2">
      <c r="A220" s="110">
        <v>124</v>
      </c>
      <c r="B220" s="8" t="s">
        <v>45</v>
      </c>
      <c r="C220" s="8" t="s">
        <v>343</v>
      </c>
      <c r="E220" s="123"/>
      <c r="F220" s="123"/>
      <c r="G220" s="207">
        <f>G126</f>
        <v>28129</v>
      </c>
      <c r="I220" s="123">
        <f>E220+G220</f>
        <v>28129</v>
      </c>
      <c r="P220" s="94"/>
      <c r="Q220" s="117">
        <f t="shared" si="22"/>
        <v>0</v>
      </c>
    </row>
    <row r="221" spans="1:17" x14ac:dyDescent="0.2">
      <c r="A221" s="110" t="s">
        <v>309</v>
      </c>
      <c r="E221" s="123"/>
      <c r="F221" s="123"/>
      <c r="G221" s="123"/>
      <c r="I221" s="123"/>
      <c r="P221" s="94"/>
      <c r="Q221" s="117">
        <f t="shared" si="22"/>
        <v>0</v>
      </c>
    </row>
    <row r="222" spans="1:17" ht="13.5" thickBot="1" x14ac:dyDescent="0.25">
      <c r="A222" s="110" t="s">
        <v>309</v>
      </c>
      <c r="B222" s="2" t="s">
        <v>344</v>
      </c>
      <c r="D222" s="2"/>
      <c r="E222" s="125">
        <f>E217+E219+E220</f>
        <v>0</v>
      </c>
      <c r="F222" s="118"/>
      <c r="G222" s="125">
        <f>G217+G219+G220</f>
        <v>28129</v>
      </c>
      <c r="H222" s="2"/>
      <c r="I222" s="125">
        <f>I217+I219+I220</f>
        <v>28129</v>
      </c>
      <c r="P222" s="94"/>
      <c r="Q222" s="117">
        <f t="shared" si="22"/>
        <v>0</v>
      </c>
    </row>
    <row r="223" spans="1:17" ht="13.5" thickTop="1" x14ac:dyDescent="0.2">
      <c r="A223" s="110" t="s">
        <v>309</v>
      </c>
      <c r="E223" s="123"/>
      <c r="F223" s="123"/>
      <c r="G223" s="123"/>
      <c r="I223" s="123"/>
      <c r="P223" s="94"/>
      <c r="Q223" s="117">
        <f t="shared" si="22"/>
        <v>0</v>
      </c>
    </row>
    <row r="224" spans="1:17" ht="15.75" x14ac:dyDescent="0.25">
      <c r="A224" s="110" t="s">
        <v>309</v>
      </c>
      <c r="B224" s="15" t="s">
        <v>345</v>
      </c>
      <c r="E224" s="4" t="s">
        <v>85</v>
      </c>
      <c r="F224" s="4"/>
      <c r="G224" s="4" t="s">
        <v>86</v>
      </c>
      <c r="H224" s="4"/>
      <c r="I224" s="4" t="s">
        <v>69</v>
      </c>
      <c r="P224" s="94"/>
      <c r="Q224" s="117">
        <f t="shared" si="22"/>
        <v>0</v>
      </c>
    </row>
    <row r="225" spans="1:17" x14ac:dyDescent="0.2">
      <c r="A225" s="110">
        <v>125</v>
      </c>
      <c r="B225" s="8" t="s">
        <v>46</v>
      </c>
      <c r="C225" s="8" t="s">
        <v>47</v>
      </c>
      <c r="E225" s="11"/>
      <c r="G225" s="11"/>
      <c r="I225" s="123">
        <f>SUM(E225:G225)</f>
        <v>0</v>
      </c>
      <c r="P225" s="94" t="str">
        <f>IF(AND(E225&gt;0,RIGHT($D$4,1)="H"),"ERROR - All Expenditure for 100% LBA Schools MUST be Local","")</f>
        <v/>
      </c>
      <c r="Q225" s="117">
        <f t="shared" si="22"/>
        <v>0</v>
      </c>
    </row>
    <row r="226" spans="1:17" x14ac:dyDescent="0.2">
      <c r="A226" s="110">
        <v>126</v>
      </c>
      <c r="B226" s="8" t="s">
        <v>48</v>
      </c>
      <c r="C226" s="8" t="s">
        <v>49</v>
      </c>
      <c r="E226" s="11"/>
      <c r="G226" s="11">
        <f>11628+16501</f>
        <v>28129</v>
      </c>
      <c r="I226" s="123">
        <f>SUM(E226:G226)</f>
        <v>28129</v>
      </c>
      <c r="P226" s="94" t="str">
        <f>IF(AND(E226&gt;0,RIGHT($D$4,1)="H"),"ERROR - All Expenditure for 100% LBA Schools MUST be Local","")</f>
        <v/>
      </c>
      <c r="Q226" s="117">
        <f t="shared" si="22"/>
        <v>0</v>
      </c>
    </row>
    <row r="227" spans="1:17" x14ac:dyDescent="0.2">
      <c r="A227" s="110">
        <v>127</v>
      </c>
      <c r="B227" s="8" t="s">
        <v>50</v>
      </c>
      <c r="C227" s="8" t="s">
        <v>346</v>
      </c>
      <c r="E227" s="11"/>
      <c r="G227" s="11"/>
      <c r="I227" s="123">
        <f>SUM(E227:G227)</f>
        <v>0</v>
      </c>
      <c r="P227" s="94" t="str">
        <f>IF(AND(E227&gt;0,RIGHT($D$4,1)="H"),"ERROR - All Expenditure for 100% LBA Schools MUST be Local","")</f>
        <v/>
      </c>
      <c r="Q227" s="117">
        <f t="shared" si="22"/>
        <v>0</v>
      </c>
    </row>
    <row r="228" spans="1:17" x14ac:dyDescent="0.2">
      <c r="A228" s="110">
        <v>128</v>
      </c>
      <c r="B228" s="8" t="s">
        <v>51</v>
      </c>
      <c r="C228" s="8" t="s">
        <v>52</v>
      </c>
      <c r="E228" s="11"/>
      <c r="G228" s="11"/>
      <c r="I228" s="123">
        <f>SUM(E228:G228)</f>
        <v>0</v>
      </c>
      <c r="P228" s="94" t="str">
        <f>IF(AND(E228&gt;0,RIGHT($D$4,1)="H"),"ERROR - All Expenditure for 100% LBA Schools MUST be Local","")</f>
        <v/>
      </c>
      <c r="Q228" s="117">
        <f t="shared" si="22"/>
        <v>0</v>
      </c>
    </row>
    <row r="229" spans="1:17" x14ac:dyDescent="0.2">
      <c r="A229" s="110" t="s">
        <v>309</v>
      </c>
      <c r="E229" s="123"/>
      <c r="F229" s="123"/>
      <c r="G229" s="123"/>
      <c r="I229" s="123"/>
      <c r="P229" s="94"/>
      <c r="Q229" s="117">
        <f t="shared" si="22"/>
        <v>0</v>
      </c>
    </row>
    <row r="230" spans="1:17" ht="13.5" thickBot="1" x14ac:dyDescent="0.25">
      <c r="A230" s="110" t="s">
        <v>309</v>
      </c>
      <c r="B230" s="2" t="s">
        <v>350</v>
      </c>
      <c r="D230" s="2"/>
      <c r="E230" s="125">
        <f>SUM(E225:E229)</f>
        <v>0</v>
      </c>
      <c r="F230" s="118"/>
      <c r="G230" s="125">
        <f>SUM(G225:G229)</f>
        <v>28129</v>
      </c>
      <c r="H230" s="2"/>
      <c r="I230" s="125">
        <f>SUM(I225:I229)</f>
        <v>28129</v>
      </c>
      <c r="P230" s="94"/>
      <c r="Q230" s="117">
        <f t="shared" si="22"/>
        <v>0</v>
      </c>
    </row>
    <row r="231" spans="1:17" ht="13.5" thickTop="1" x14ac:dyDescent="0.2">
      <c r="A231" s="110" t="s">
        <v>309</v>
      </c>
      <c r="E231" s="123"/>
      <c r="F231" s="123"/>
      <c r="G231" s="123"/>
      <c r="I231" s="123"/>
      <c r="P231" s="94"/>
      <c r="Q231" s="117">
        <f t="shared" si="22"/>
        <v>0</v>
      </c>
    </row>
    <row r="232" spans="1:17" x14ac:dyDescent="0.2">
      <c r="A232" s="110" t="s">
        <v>309</v>
      </c>
      <c r="B232" s="2" t="s">
        <v>351</v>
      </c>
      <c r="P232" s="94"/>
      <c r="Q232" s="117">
        <f t="shared" si="22"/>
        <v>0</v>
      </c>
    </row>
    <row r="233" spans="1:17" x14ac:dyDescent="0.2">
      <c r="A233" s="110">
        <v>129</v>
      </c>
      <c r="B233" s="8" t="s">
        <v>55</v>
      </c>
      <c r="C233" s="8" t="s">
        <v>57</v>
      </c>
      <c r="I233" s="11">
        <v>0</v>
      </c>
      <c r="P233" s="94"/>
      <c r="Q233" s="117">
        <f t="shared" si="22"/>
        <v>0</v>
      </c>
    </row>
    <row r="234" spans="1:17" x14ac:dyDescent="0.2">
      <c r="A234" s="110">
        <v>130</v>
      </c>
      <c r="B234" s="8" t="s">
        <v>56</v>
      </c>
      <c r="C234" s="8" t="s">
        <v>338</v>
      </c>
      <c r="I234" s="132">
        <f>I235-I233</f>
        <v>0</v>
      </c>
      <c r="P234" s="94"/>
      <c r="Q234" s="117">
        <f t="shared" si="22"/>
        <v>0</v>
      </c>
    </row>
    <row r="235" spans="1:17" ht="13.5" thickBot="1" x14ac:dyDescent="0.25">
      <c r="A235" s="110" t="s">
        <v>309</v>
      </c>
      <c r="B235" s="2" t="s">
        <v>335</v>
      </c>
      <c r="I235" s="133">
        <f>I212+I222-I230</f>
        <v>0</v>
      </c>
      <c r="K235" s="4" t="str">
        <f>IF(I235&gt;=0,"Surplus","Deficit")</f>
        <v>Surplus</v>
      </c>
      <c r="P235" s="94"/>
      <c r="Q235" s="117">
        <f t="shared" si="22"/>
        <v>0</v>
      </c>
    </row>
    <row r="236" spans="1:17" ht="14.25" thickTop="1" thickBot="1" x14ac:dyDescent="0.25">
      <c r="A236" s="110" t="s">
        <v>309</v>
      </c>
      <c r="B236" s="8"/>
      <c r="C236" s="8"/>
      <c r="I236" s="123"/>
      <c r="P236" s="94"/>
      <c r="Q236" s="117">
        <f t="shared" si="22"/>
        <v>0</v>
      </c>
    </row>
    <row r="237" spans="1:17" ht="13.5" thickBot="1" x14ac:dyDescent="0.25">
      <c r="A237" s="110" t="s">
        <v>309</v>
      </c>
      <c r="B237" s="134" t="s">
        <v>336</v>
      </c>
      <c r="C237" s="135"/>
      <c r="D237" s="135"/>
      <c r="E237" s="135"/>
      <c r="F237" s="135"/>
      <c r="G237" s="135"/>
      <c r="H237" s="135"/>
      <c r="I237" s="136">
        <f>I235-I212</f>
        <v>0</v>
      </c>
      <c r="K237" s="4" t="str">
        <f>IF(I237&gt;=0,"Surplus","Deficit")</f>
        <v>Surplus</v>
      </c>
      <c r="P237" s="94"/>
      <c r="Q237" s="117">
        <f t="shared" si="22"/>
        <v>0</v>
      </c>
    </row>
    <row r="238" spans="1:17" x14ac:dyDescent="0.2">
      <c r="E238" s="123"/>
      <c r="F238" s="123"/>
      <c r="G238" s="123"/>
      <c r="I238" s="123"/>
      <c r="Q238" s="137">
        <f>SUM(Q8:Q237)</f>
        <v>0</v>
      </c>
    </row>
    <row r="239" spans="1:17" x14ac:dyDescent="0.2">
      <c r="E239" s="123"/>
      <c r="F239" s="123"/>
      <c r="G239" s="123"/>
      <c r="I239" s="123"/>
    </row>
    <row r="240" spans="1:17" ht="18.75" customHeight="1" thickBot="1" x14ac:dyDescent="0.25">
      <c r="E240" s="123"/>
      <c r="F240" s="123"/>
      <c r="G240" s="123"/>
      <c r="I240" s="123"/>
    </row>
    <row r="241" spans="2:10" ht="15.75" x14ac:dyDescent="0.25">
      <c r="B241" s="143" t="s">
        <v>352</v>
      </c>
      <c r="C241" s="144"/>
      <c r="D241" s="144"/>
      <c r="E241" s="145"/>
      <c r="F241" s="145"/>
      <c r="G241" s="145"/>
      <c r="H241" s="144"/>
      <c r="I241" s="145"/>
      <c r="J241" s="146"/>
    </row>
    <row r="242" spans="2:10" x14ac:dyDescent="0.2">
      <c r="B242" s="147" t="s">
        <v>639</v>
      </c>
      <c r="E242" s="123"/>
      <c r="F242" s="123"/>
      <c r="G242" s="123"/>
      <c r="I242" s="123"/>
      <c r="J242" s="148"/>
    </row>
    <row r="243" spans="2:10" ht="15" customHeight="1" thickBot="1" x14ac:dyDescent="0.25">
      <c r="B243" s="149" t="s">
        <v>640</v>
      </c>
      <c r="C243" s="150"/>
      <c r="D243" s="150"/>
      <c r="E243" s="151"/>
      <c r="F243" s="151"/>
      <c r="G243" s="151"/>
      <c r="H243" s="150"/>
      <c r="I243" s="151"/>
      <c r="J243" s="152"/>
    </row>
    <row r="244" spans="2:10" x14ac:dyDescent="0.2">
      <c r="B244" s="153" t="s">
        <v>399</v>
      </c>
      <c r="E244" s="123"/>
      <c r="F244" s="123"/>
      <c r="G244" s="123"/>
      <c r="I244" s="123"/>
      <c r="J244" s="148"/>
    </row>
    <row r="245" spans="2:10" x14ac:dyDescent="0.2">
      <c r="B245" s="154"/>
      <c r="E245" s="123"/>
      <c r="F245" s="123"/>
      <c r="G245" s="123"/>
      <c r="I245" s="123"/>
      <c r="J245" s="148"/>
    </row>
    <row r="246" spans="2:10" x14ac:dyDescent="0.2">
      <c r="B246" s="154"/>
      <c r="E246" s="123"/>
      <c r="F246" s="123"/>
      <c r="G246" s="123"/>
      <c r="I246" s="123"/>
      <c r="J246" s="148"/>
    </row>
    <row r="247" spans="2:10" x14ac:dyDescent="0.2">
      <c r="B247" s="153" t="s">
        <v>813</v>
      </c>
      <c r="E247" s="123"/>
      <c r="F247" s="123"/>
      <c r="G247" s="123"/>
      <c r="I247" s="123"/>
      <c r="J247" s="148"/>
    </row>
    <row r="248" spans="2:10" x14ac:dyDescent="0.2">
      <c r="B248" s="154"/>
      <c r="E248" s="123"/>
      <c r="F248" s="123"/>
      <c r="G248" s="123"/>
      <c r="I248" s="123"/>
      <c r="J248" s="148"/>
    </row>
    <row r="249" spans="2:10" x14ac:dyDescent="0.2">
      <c r="B249" s="153" t="s">
        <v>353</v>
      </c>
      <c r="C249" s="103"/>
      <c r="E249" s="155" t="s">
        <v>354</v>
      </c>
      <c r="F249" s="277"/>
      <c r="G249" s="277"/>
      <c r="H249" s="277"/>
      <c r="I249" s="123"/>
      <c r="J249" s="148"/>
    </row>
    <row r="250" spans="2:10" ht="13.5" thickBot="1" x14ac:dyDescent="0.25">
      <c r="B250" s="156"/>
      <c r="C250" s="150"/>
      <c r="D250" s="150"/>
      <c r="E250" s="151"/>
      <c r="F250" s="151"/>
      <c r="G250" s="151"/>
      <c r="H250" s="150"/>
      <c r="I250" s="151"/>
      <c r="J250" s="152"/>
    </row>
    <row r="251" spans="2:10" ht="16.5" customHeight="1" x14ac:dyDescent="0.2">
      <c r="B251" s="157" t="s">
        <v>468</v>
      </c>
      <c r="E251" s="123"/>
      <c r="F251" s="123"/>
      <c r="G251" s="123"/>
      <c r="I251" s="123"/>
    </row>
    <row r="252" spans="2:10" x14ac:dyDescent="0.2">
      <c r="E252" s="123"/>
      <c r="F252" s="123"/>
      <c r="G252" s="123"/>
      <c r="I252" s="123"/>
    </row>
  </sheetData>
  <sheetProtection algorithmName="SHA-512" hashValue="T968mTjUIckwuhZ2HJKIPfkbuuQKRufUuFsi2kWHfLSwDlQ5mGrrfLx4aNhd6JLIEGPQW/UObDaqs7TNL+N5eA==" saltValue="zU8wtBEoTx+8McC9vPpp9w==" spinCount="100000" sheet="1" objects="1" scenarios="1"/>
  <mergeCells count="5">
    <mergeCell ref="B4:C4"/>
    <mergeCell ref="F249:H249"/>
    <mergeCell ref="A5:A7"/>
    <mergeCell ref="L2:O2"/>
    <mergeCell ref="F2:I2"/>
  </mergeCells>
  <phoneticPr fontId="28" type="noConversion"/>
  <conditionalFormatting sqref="E8:E10">
    <cfRule type="expression" dxfId="45" priority="5">
      <formula>LEFT(P8,5)="ERROR"</formula>
    </cfRule>
  </conditionalFormatting>
  <conditionalFormatting sqref="E14:E28 E80:E84">
    <cfRule type="expression" dxfId="44" priority="35">
      <formula>LEFT(P14,5)="ERROR"</formula>
    </cfRule>
  </conditionalFormatting>
  <conditionalFormatting sqref="E30:E31">
    <cfRule type="expression" dxfId="43" priority="2">
      <formula>LEFT(P30,5)="ERROR"</formula>
    </cfRule>
  </conditionalFormatting>
  <conditionalFormatting sqref="E35:E36">
    <cfRule type="expression" dxfId="42" priority="12">
      <formula>LEFT(P35,5)="ERROR"</formula>
    </cfRule>
  </conditionalFormatting>
  <conditionalFormatting sqref="E40:E42">
    <cfRule type="expression" dxfId="41" priority="11">
      <formula>LEFT(P40,5)="ERROR"</formula>
    </cfRule>
  </conditionalFormatting>
  <conditionalFormatting sqref="E47">
    <cfRule type="expression" dxfId="40" priority="1">
      <formula>LEFT(P47,5)="ERROR"</formula>
    </cfRule>
  </conditionalFormatting>
  <conditionalFormatting sqref="E52:E55">
    <cfRule type="expression" dxfId="39" priority="10">
      <formula>LEFT(P52,5)="ERROR"</formula>
    </cfRule>
  </conditionalFormatting>
  <conditionalFormatting sqref="E60">
    <cfRule type="expression" dxfId="38" priority="9">
      <formula>LEFT(P60,5)="ERROR"</formula>
    </cfRule>
  </conditionalFormatting>
  <conditionalFormatting sqref="E64">
    <cfRule type="expression" dxfId="37" priority="8">
      <formula>LEFT(P64,5)="ERROR"</formula>
    </cfRule>
  </conditionalFormatting>
  <conditionalFormatting sqref="E67:E68">
    <cfRule type="expression" dxfId="36" priority="7">
      <formula>LEFT(P67,5)="ERROR"</formula>
    </cfRule>
  </conditionalFormatting>
  <conditionalFormatting sqref="E92:E102">
    <cfRule type="expression" dxfId="35" priority="32">
      <formula>LEFT(P92,5)="ERROR"</formula>
    </cfRule>
  </conditionalFormatting>
  <conditionalFormatting sqref="E106:E112">
    <cfRule type="expression" dxfId="34" priority="29">
      <formula>LEFT(P106,5)="ERROR"</formula>
    </cfRule>
  </conditionalFormatting>
  <conditionalFormatting sqref="E116:E126">
    <cfRule type="expression" dxfId="33" priority="28">
      <formula>LEFT(P116,5)="ERROR"</formula>
    </cfRule>
  </conditionalFormatting>
  <conditionalFormatting sqref="E166:E167">
    <cfRule type="expression" dxfId="32" priority="22">
      <formula>LEFT(P166,5)="ERROR"</formula>
    </cfRule>
  </conditionalFormatting>
  <conditionalFormatting sqref="E171:E175">
    <cfRule type="expression" dxfId="31" priority="21">
      <formula>LEFT(P171,5)="ERROR"</formula>
    </cfRule>
  </conditionalFormatting>
  <conditionalFormatting sqref="E179:E185">
    <cfRule type="expression" dxfId="30" priority="20">
      <formula>LEFT(P179,5)="ERROR"</formula>
    </cfRule>
  </conditionalFormatting>
  <conditionalFormatting sqref="E189:E197">
    <cfRule type="expression" dxfId="29" priority="19">
      <formula>LEFT(P189,5)="ERROR"</formula>
    </cfRule>
  </conditionalFormatting>
  <conditionalFormatting sqref="G29">
    <cfRule type="expression" dxfId="28" priority="3">
      <formula>LEFT(R29,5)="ERROR"</formula>
    </cfRule>
  </conditionalFormatting>
  <conditionalFormatting sqref="G92:G102">
    <cfRule type="expression" dxfId="27" priority="30">
      <formula>LEFT(P92,5)="ERROR"</formula>
    </cfRule>
  </conditionalFormatting>
  <conditionalFormatting sqref="G106:G112">
    <cfRule type="expression" dxfId="26" priority="27">
      <formula>LEFT(P106,5)="ERROR"</formula>
    </cfRule>
  </conditionalFormatting>
  <conditionalFormatting sqref="G116:G126">
    <cfRule type="expression" dxfId="25" priority="26">
      <formula>LEFT(P116,5)="ERROR"</formula>
    </cfRule>
  </conditionalFormatting>
  <conditionalFormatting sqref="G166:G167">
    <cfRule type="expression" dxfId="24" priority="18">
      <formula>LEFT(P166,5)="ERROR"</formula>
    </cfRule>
  </conditionalFormatting>
  <conditionalFormatting sqref="G171:G175">
    <cfRule type="expression" dxfId="23" priority="17">
      <formula>LEFT(P171,5)="ERROR"</formula>
    </cfRule>
  </conditionalFormatting>
  <conditionalFormatting sqref="G179:G185">
    <cfRule type="expression" dxfId="22" priority="16">
      <formula>LEFT(P179,5)="ERROR"</formula>
    </cfRule>
  </conditionalFormatting>
  <conditionalFormatting sqref="G189:G197">
    <cfRule type="expression" dxfId="21" priority="15">
      <formula>LEFT(P189,5)="ERROR"</formula>
    </cfRule>
  </conditionalFormatting>
  <conditionalFormatting sqref="K134 K205:K206">
    <cfRule type="containsText" dxfId="20" priority="48" operator="containsText" text="Deficit">
      <formula>NOT(ISERROR(SEARCH("Deficit",K134)))</formula>
    </cfRule>
  </conditionalFormatting>
  <conditionalFormatting sqref="K136">
    <cfRule type="containsText" dxfId="19" priority="47" operator="containsText" text="Deficit">
      <formula>NOT(ISERROR(SEARCH("Deficit",K136)))</formula>
    </cfRule>
  </conditionalFormatting>
  <conditionalFormatting sqref="K203">
    <cfRule type="containsText" dxfId="18" priority="46" operator="containsText" text="Deficit">
      <formula>NOT(ISERROR(SEARCH("Deficit",K203)))</formula>
    </cfRule>
  </conditionalFormatting>
  <conditionalFormatting sqref="K235">
    <cfRule type="containsText" dxfId="17" priority="44" operator="containsText" text="Deficit">
      <formula>NOT(ISERROR(SEARCH("Deficit",K235)))</formula>
    </cfRule>
  </conditionalFormatting>
  <conditionalFormatting sqref="K237">
    <cfRule type="containsText" dxfId="16" priority="43" operator="containsText" text="Deficit">
      <formula>NOT(ISERROR(SEARCH("Deficit",K237)))</formula>
    </cfRule>
  </conditionalFormatting>
  <pageMargins left="0.23622047244094491" right="0.15748031496062992" top="0.19685039370078741" bottom="0.19685039370078741" header="0.15748031496062992" footer="0.15748031496062992"/>
  <pageSetup paperSize="9" scale="78" fitToHeight="0" orientation="portrait" verticalDpi="4294967293" r:id="rId1"/>
  <rowBreaks count="2" manualBreakCount="2">
    <brk id="138" max="10" man="1"/>
    <brk id="207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N236"/>
  <sheetViews>
    <sheetView zoomScaleNormal="100" workbookViewId="0">
      <pane xSplit="3" ySplit="7" topLeftCell="D182" activePane="bottomRight" state="frozen"/>
      <selection activeCell="B1" sqref="B1"/>
      <selection pane="topRight" activeCell="B1" sqref="B1"/>
      <selection pane="bottomLeft" activeCell="B1" sqref="B1"/>
      <selection pane="bottomRight" activeCell="K14" sqref="K14"/>
    </sheetView>
  </sheetViews>
  <sheetFormatPr defaultColWidth="9.140625" defaultRowHeight="12.75" x14ac:dyDescent="0.2"/>
  <cols>
    <col min="1" max="1" width="4.5703125" style="110" customWidth="1"/>
    <col min="2" max="2" width="6.7109375" style="1" customWidth="1"/>
    <col min="3" max="3" width="61.42578125" style="1" bestFit="1" customWidth="1"/>
    <col min="4" max="4" width="5.140625" style="1" customWidth="1"/>
    <col min="5" max="5" width="12.28515625" style="1" bestFit="1" customWidth="1"/>
    <col min="6" max="6" width="1.5703125" style="1" customWidth="1"/>
    <col min="7" max="7" width="9.140625" style="1"/>
    <col min="8" max="8" width="7.140625" style="1" hidden="1" customWidth="1"/>
    <col min="9" max="9" width="11" style="1" hidden="1" customWidth="1"/>
    <col min="10" max="10" width="7.140625" style="1" hidden="1" customWidth="1"/>
    <col min="11" max="11" width="58.42578125" style="1" customWidth="1"/>
    <col min="12" max="12" width="6.28515625" style="1" hidden="1" customWidth="1"/>
    <col min="13" max="16384" width="9.140625" style="1"/>
  </cols>
  <sheetData>
    <row r="1" spans="1:12" ht="3.75" customHeight="1" x14ac:dyDescent="0.2">
      <c r="G1" s="111"/>
    </row>
    <row r="2" spans="1:12" ht="24.75" customHeight="1" x14ac:dyDescent="0.25">
      <c r="B2" s="9" t="str">
        <f>setups!D24</f>
        <v>Forecast 2026-27 Financial Year</v>
      </c>
      <c r="D2" s="2" t="s">
        <v>469</v>
      </c>
      <c r="H2" s="2"/>
      <c r="I2" s="2"/>
      <c r="J2" s="2"/>
    </row>
    <row r="3" spans="1:12" ht="5.25" customHeight="1" x14ac:dyDescent="0.2"/>
    <row r="4" spans="1:12" ht="15" customHeight="1" x14ac:dyDescent="0.25">
      <c r="B4" s="256" t="str">
        <f>'School &amp; Other Info'!F4</f>
        <v>Nutfield Church CofE Primary School</v>
      </c>
      <c r="C4" s="256"/>
      <c r="D4" s="2" t="str">
        <f>'School &amp; Other Info'!F6</f>
        <v>ECFE8719</v>
      </c>
    </row>
    <row r="5" spans="1:12" ht="8.25" customHeight="1" x14ac:dyDescent="0.2">
      <c r="A5" s="278"/>
    </row>
    <row r="6" spans="1:12" ht="15.75" customHeight="1" x14ac:dyDescent="0.25">
      <c r="A6" s="278"/>
      <c r="B6" s="15" t="s">
        <v>649</v>
      </c>
    </row>
    <row r="7" spans="1:12" s="113" customFormat="1" ht="28.5" customHeight="1" x14ac:dyDescent="0.25">
      <c r="A7" s="278"/>
      <c r="B7" s="112"/>
      <c r="E7" s="114"/>
      <c r="F7" s="115"/>
      <c r="G7" s="114" t="s">
        <v>675</v>
      </c>
      <c r="K7" s="115" t="s">
        <v>533</v>
      </c>
      <c r="L7" s="115" t="s">
        <v>555</v>
      </c>
    </row>
    <row r="8" spans="1:12" ht="12.6" customHeight="1" x14ac:dyDescent="0.2">
      <c r="B8" s="8" t="s">
        <v>511</v>
      </c>
      <c r="C8" s="8" t="s">
        <v>643</v>
      </c>
      <c r="E8" s="158">
        <f>'Budget Plan Year 1'!I132</f>
        <v>0</v>
      </c>
      <c r="I8" s="4"/>
      <c r="J8" s="4"/>
      <c r="L8" s="117">
        <f>IF(LEFT(K8,5)="ERROR",1,0)</f>
        <v>0</v>
      </c>
    </row>
    <row r="9" spans="1:12" ht="12.6" customHeight="1" x14ac:dyDescent="0.2">
      <c r="B9" s="8" t="s">
        <v>541</v>
      </c>
      <c r="C9" s="8" t="s">
        <v>644</v>
      </c>
      <c r="E9" s="158">
        <f>'Budget Plan Year 1'!I133</f>
        <v>84312</v>
      </c>
      <c r="I9" s="107"/>
      <c r="J9" s="107"/>
      <c r="L9" s="117">
        <f>IF(LEFT(K9,5)="ERROR",1,0)</f>
        <v>0</v>
      </c>
    </row>
    <row r="10" spans="1:12" ht="12.6" customHeight="1" x14ac:dyDescent="0.2">
      <c r="B10" s="8" t="s">
        <v>542</v>
      </c>
      <c r="C10" s="8" t="s">
        <v>642</v>
      </c>
      <c r="E10" s="12"/>
      <c r="F10" s="118"/>
      <c r="I10" s="123"/>
      <c r="J10" s="174"/>
      <c r="K10" s="1" t="str">
        <f>IF(E10&lt;&gt;0,"Subject to approval by LA - see Section P of Finance Manual","")</f>
        <v/>
      </c>
      <c r="L10" s="117">
        <f>IF(LEFT(K10,5)="ERROR",1,0)</f>
        <v>0</v>
      </c>
    </row>
    <row r="11" spans="1:12" ht="12.6" customHeight="1" thickBot="1" x14ac:dyDescent="0.25">
      <c r="B11" s="2" t="s">
        <v>549</v>
      </c>
      <c r="C11" s="119"/>
      <c r="E11" s="120">
        <f>SUM(E8:E10)</f>
        <v>84312</v>
      </c>
      <c r="L11" s="117">
        <f t="shared" ref="L11:L79" si="0">IF(LEFT(K11,5)="ERROR",1,0)</f>
        <v>0</v>
      </c>
    </row>
    <row r="12" spans="1:12" ht="15.6" customHeight="1" thickTop="1" x14ac:dyDescent="0.25">
      <c r="B12" s="15" t="s">
        <v>99</v>
      </c>
      <c r="L12" s="117">
        <f t="shared" si="0"/>
        <v>0</v>
      </c>
    </row>
    <row r="13" spans="1:12" ht="12.6" customHeight="1" x14ac:dyDescent="0.2">
      <c r="B13" s="8"/>
      <c r="C13" s="2" t="s">
        <v>513</v>
      </c>
      <c r="E13" s="4"/>
      <c r="F13" s="2"/>
      <c r="L13" s="117">
        <f t="shared" si="0"/>
        <v>0</v>
      </c>
    </row>
    <row r="14" spans="1:12" ht="12.6" customHeight="1" x14ac:dyDescent="0.2">
      <c r="B14" s="8" t="s">
        <v>0</v>
      </c>
      <c r="C14" s="8" t="s">
        <v>514</v>
      </c>
      <c r="E14" s="12">
        <v>1075009</v>
      </c>
      <c r="L14" s="117">
        <f t="shared" si="0"/>
        <v>0</v>
      </c>
    </row>
    <row r="15" spans="1:12" ht="12.6" customHeight="1" x14ac:dyDescent="0.2">
      <c r="B15" s="8" t="s">
        <v>0</v>
      </c>
      <c r="C15" s="8" t="s">
        <v>515</v>
      </c>
      <c r="E15" s="12">
        <v>-17724</v>
      </c>
      <c r="F15" s="8"/>
      <c r="K15" s="94" t="str">
        <f>IF(E15&gt;0,"ERROR - de-delegation &amp; central services levy MUST be negative","")</f>
        <v/>
      </c>
      <c r="L15" s="117">
        <f t="shared" si="0"/>
        <v>0</v>
      </c>
    </row>
    <row r="16" spans="1:12" ht="12.6" customHeight="1" x14ac:dyDescent="0.2">
      <c r="B16" s="8" t="s">
        <v>0</v>
      </c>
      <c r="C16" s="8" t="s">
        <v>689</v>
      </c>
      <c r="E16" s="12"/>
      <c r="K16" s="94"/>
      <c r="L16" s="117">
        <f t="shared" si="0"/>
        <v>0</v>
      </c>
    </row>
    <row r="17" spans="2:12" ht="12.6" customHeight="1" x14ac:dyDescent="0.2">
      <c r="B17" s="8" t="s">
        <v>0</v>
      </c>
      <c r="C17" s="8" t="s">
        <v>840</v>
      </c>
      <c r="E17" s="12">
        <v>19951</v>
      </c>
      <c r="K17" s="94"/>
      <c r="L17" s="117"/>
    </row>
    <row r="18" spans="2:12" ht="12.6" customHeight="1" x14ac:dyDescent="0.2">
      <c r="B18" s="8" t="s">
        <v>0</v>
      </c>
      <c r="C18" s="8" t="s">
        <v>778</v>
      </c>
      <c r="E18" s="12"/>
      <c r="K18" s="94"/>
      <c r="L18" s="117"/>
    </row>
    <row r="19" spans="2:12" ht="12.6" customHeight="1" x14ac:dyDescent="0.2">
      <c r="B19" s="8" t="s">
        <v>0</v>
      </c>
      <c r="C19" s="8" t="s">
        <v>80</v>
      </c>
      <c r="E19" s="12"/>
      <c r="K19" s="94"/>
      <c r="L19" s="117">
        <f t="shared" si="0"/>
        <v>0</v>
      </c>
    </row>
    <row r="20" spans="2:12" ht="12.6" customHeight="1" x14ac:dyDescent="0.2">
      <c r="B20" s="8" t="s">
        <v>0</v>
      </c>
      <c r="C20" s="8" t="s">
        <v>530</v>
      </c>
      <c r="E20" s="12"/>
      <c r="K20" s="94"/>
      <c r="L20" s="117">
        <f t="shared" si="0"/>
        <v>0</v>
      </c>
    </row>
    <row r="21" spans="2:12" ht="12.6" customHeight="1" x14ac:dyDescent="0.2">
      <c r="B21" s="8" t="s">
        <v>0</v>
      </c>
      <c r="C21" s="8" t="s">
        <v>81</v>
      </c>
      <c r="E21" s="12"/>
      <c r="K21" s="94"/>
      <c r="L21" s="117">
        <f t="shared" si="0"/>
        <v>0</v>
      </c>
    </row>
    <row r="22" spans="2:12" ht="12.6" customHeight="1" x14ac:dyDescent="0.2">
      <c r="B22" s="8" t="s">
        <v>0</v>
      </c>
      <c r="C22" s="1" t="s">
        <v>520</v>
      </c>
      <c r="E22" s="12"/>
      <c r="K22" s="94"/>
      <c r="L22" s="117">
        <f t="shared" si="0"/>
        <v>0</v>
      </c>
    </row>
    <row r="23" spans="2:12" ht="12.6" customHeight="1" x14ac:dyDescent="0.2">
      <c r="B23" s="8" t="s">
        <v>0</v>
      </c>
      <c r="C23" s="8" t="s">
        <v>516</v>
      </c>
      <c r="E23" s="12"/>
      <c r="K23" s="94"/>
      <c r="L23" s="117">
        <f t="shared" si="0"/>
        <v>0</v>
      </c>
    </row>
    <row r="24" spans="2:12" ht="12.6" customHeight="1" x14ac:dyDescent="0.2">
      <c r="B24" s="8" t="s">
        <v>0</v>
      </c>
      <c r="C24" s="8" t="s">
        <v>491</v>
      </c>
      <c r="E24" s="12"/>
      <c r="K24" s="94"/>
      <c r="L24" s="117">
        <f t="shared" si="0"/>
        <v>0</v>
      </c>
    </row>
    <row r="25" spans="2:12" ht="12.6" customHeight="1" x14ac:dyDescent="0.2">
      <c r="B25" s="8" t="s">
        <v>0</v>
      </c>
      <c r="C25" s="8" t="s">
        <v>517</v>
      </c>
      <c r="E25" s="12"/>
      <c r="K25" s="94" t="str">
        <f>IF(E25&gt;0,"ERROR - Prior Year adjustment can only be negative","")</f>
        <v/>
      </c>
      <c r="L25" s="117">
        <f t="shared" si="0"/>
        <v>0</v>
      </c>
    </row>
    <row r="26" spans="2:12" ht="12.6" customHeight="1" x14ac:dyDescent="0.2">
      <c r="B26" s="8" t="s">
        <v>0</v>
      </c>
      <c r="C26" s="8" t="s">
        <v>518</v>
      </c>
      <c r="E26" s="12"/>
      <c r="K26" s="94" t="str">
        <f>IF(E26&gt;0,"ERROR - Loan Repayment MUST be negative","")</f>
        <v/>
      </c>
      <c r="L26" s="117">
        <f t="shared" si="0"/>
        <v>0</v>
      </c>
    </row>
    <row r="27" spans="2:12" ht="12.6" customHeight="1" x14ac:dyDescent="0.2">
      <c r="B27" s="8" t="s">
        <v>0</v>
      </c>
      <c r="C27" s="8" t="s">
        <v>738</v>
      </c>
      <c r="E27" s="12"/>
      <c r="K27" s="94"/>
      <c r="L27" s="117"/>
    </row>
    <row r="28" spans="2:12" ht="12.6" customHeight="1" x14ac:dyDescent="0.2">
      <c r="B28" s="8" t="s">
        <v>0</v>
      </c>
      <c r="C28" s="95" t="s">
        <v>519</v>
      </c>
      <c r="E28" s="12"/>
      <c r="K28" s="94"/>
      <c r="L28" s="117"/>
    </row>
    <row r="29" spans="2:12" ht="12.6" customHeight="1" x14ac:dyDescent="0.2">
      <c r="B29" s="8" t="s">
        <v>0</v>
      </c>
      <c r="C29" s="95" t="s">
        <v>519</v>
      </c>
      <c r="E29" s="12"/>
      <c r="K29" s="94"/>
      <c r="L29" s="117"/>
    </row>
    <row r="30" spans="2:12" ht="12.6" customHeight="1" x14ac:dyDescent="0.2">
      <c r="B30" s="8" t="s">
        <v>0</v>
      </c>
      <c r="C30" s="95" t="s">
        <v>519</v>
      </c>
      <c r="E30" s="12"/>
      <c r="K30" s="94"/>
      <c r="L30" s="117">
        <f t="shared" si="0"/>
        <v>0</v>
      </c>
    </row>
    <row r="31" spans="2:12" ht="12.6" customHeight="1" x14ac:dyDescent="0.2">
      <c r="B31" s="2"/>
      <c r="C31" s="2" t="s">
        <v>741</v>
      </c>
      <c r="E31" s="121">
        <f>SUM(E14:E30)</f>
        <v>1077236</v>
      </c>
      <c r="K31" s="94"/>
      <c r="L31" s="117">
        <f t="shared" si="0"/>
        <v>0</v>
      </c>
    </row>
    <row r="32" spans="2:12" ht="6" customHeight="1" x14ac:dyDescent="0.2">
      <c r="K32" s="94"/>
      <c r="L32" s="117">
        <f t="shared" si="0"/>
        <v>0</v>
      </c>
    </row>
    <row r="33" spans="2:12" ht="12.6" customHeight="1" x14ac:dyDescent="0.2">
      <c r="B33" s="10"/>
      <c r="C33" s="2" t="s">
        <v>82</v>
      </c>
      <c r="K33" s="94"/>
      <c r="L33" s="117">
        <f t="shared" si="0"/>
        <v>0</v>
      </c>
    </row>
    <row r="34" spans="2:12" ht="12.6" customHeight="1" x14ac:dyDescent="0.2">
      <c r="B34" s="8" t="s">
        <v>1</v>
      </c>
      <c r="C34" s="8" t="s">
        <v>521</v>
      </c>
      <c r="E34" s="11"/>
      <c r="K34" s="94"/>
      <c r="L34" s="117">
        <f t="shared" si="0"/>
        <v>0</v>
      </c>
    </row>
    <row r="35" spans="2:12" ht="12.6" customHeight="1" x14ac:dyDescent="0.2">
      <c r="B35" s="8" t="s">
        <v>1</v>
      </c>
      <c r="C35" s="95" t="s">
        <v>522</v>
      </c>
      <c r="E35" s="11"/>
      <c r="K35" s="94"/>
      <c r="L35" s="117">
        <f t="shared" si="0"/>
        <v>0</v>
      </c>
    </row>
    <row r="36" spans="2:12" ht="12.6" customHeight="1" x14ac:dyDescent="0.2">
      <c r="B36" s="2"/>
      <c r="C36" s="2" t="s">
        <v>742</v>
      </c>
      <c r="E36" s="121">
        <f>SUM(E34:E35)</f>
        <v>0</v>
      </c>
      <c r="K36" s="94"/>
      <c r="L36" s="117">
        <f t="shared" si="0"/>
        <v>0</v>
      </c>
    </row>
    <row r="37" spans="2:12" ht="6" customHeight="1" x14ac:dyDescent="0.2">
      <c r="K37" s="94"/>
      <c r="L37" s="117">
        <f t="shared" si="0"/>
        <v>0</v>
      </c>
    </row>
    <row r="38" spans="2:12" ht="12.6" customHeight="1" x14ac:dyDescent="0.2">
      <c r="B38" s="10"/>
      <c r="C38" s="2" t="s">
        <v>83</v>
      </c>
      <c r="K38" s="94"/>
      <c r="L38" s="117">
        <f t="shared" si="0"/>
        <v>0</v>
      </c>
    </row>
    <row r="39" spans="2:12" ht="12.6" customHeight="1" x14ac:dyDescent="0.2">
      <c r="B39" s="8" t="s">
        <v>2</v>
      </c>
      <c r="C39" s="8" t="s">
        <v>525</v>
      </c>
      <c r="E39" s="11"/>
      <c r="K39" s="94"/>
      <c r="L39" s="117">
        <f t="shared" si="0"/>
        <v>0</v>
      </c>
    </row>
    <row r="40" spans="2:12" ht="12.6" customHeight="1" x14ac:dyDescent="0.2">
      <c r="B40" s="8" t="s">
        <v>2</v>
      </c>
      <c r="C40" s="8" t="s">
        <v>524</v>
      </c>
      <c r="E40" s="11">
        <v>22046</v>
      </c>
      <c r="K40" s="94"/>
      <c r="L40" s="117">
        <f t="shared" si="0"/>
        <v>0</v>
      </c>
    </row>
    <row r="41" spans="2:12" ht="12.6" customHeight="1" x14ac:dyDescent="0.2">
      <c r="B41" s="8" t="s">
        <v>2</v>
      </c>
      <c r="C41" s="95" t="s">
        <v>523</v>
      </c>
      <c r="E41" s="11"/>
      <c r="I41" s="4"/>
      <c r="J41" s="4"/>
      <c r="K41" s="94"/>
      <c r="L41" s="117">
        <f t="shared" si="0"/>
        <v>0</v>
      </c>
    </row>
    <row r="42" spans="2:12" ht="12.6" customHeight="1" x14ac:dyDescent="0.2">
      <c r="B42" s="8" t="s">
        <v>2</v>
      </c>
      <c r="C42" s="8" t="s">
        <v>87</v>
      </c>
      <c r="E42" s="11"/>
      <c r="I42" s="107"/>
      <c r="J42" s="107"/>
      <c r="K42" s="94"/>
      <c r="L42" s="117">
        <f t="shared" si="0"/>
        <v>0</v>
      </c>
    </row>
    <row r="43" spans="2:12" ht="12.6" customHeight="1" x14ac:dyDescent="0.2">
      <c r="B43" s="2"/>
      <c r="C43" s="2" t="s">
        <v>743</v>
      </c>
      <c r="E43" s="121">
        <f>SUM(E39:E42)</f>
        <v>22046</v>
      </c>
      <c r="I43" s="123"/>
      <c r="J43" s="174"/>
      <c r="K43" s="94"/>
      <c r="L43" s="117">
        <f t="shared" si="0"/>
        <v>0</v>
      </c>
    </row>
    <row r="44" spans="2:12" ht="6" customHeight="1" x14ac:dyDescent="0.2">
      <c r="K44" s="94"/>
      <c r="L44" s="117">
        <f t="shared" si="0"/>
        <v>0</v>
      </c>
    </row>
    <row r="45" spans="2:12" ht="12.6" customHeight="1" x14ac:dyDescent="0.2">
      <c r="C45" s="2" t="s">
        <v>566</v>
      </c>
      <c r="K45" s="94"/>
      <c r="L45" s="117"/>
    </row>
    <row r="46" spans="2:12" ht="12.6" customHeight="1" x14ac:dyDescent="0.2">
      <c r="B46" s="8" t="s">
        <v>565</v>
      </c>
      <c r="C46" s="8" t="s">
        <v>793</v>
      </c>
      <c r="E46" s="12"/>
      <c r="K46" s="94"/>
      <c r="L46" s="117"/>
    </row>
    <row r="47" spans="2:12" ht="12.6" customHeight="1" x14ac:dyDescent="0.2">
      <c r="B47" s="8" t="s">
        <v>565</v>
      </c>
      <c r="C47" s="8" t="s">
        <v>795</v>
      </c>
      <c r="E47" s="12"/>
      <c r="K47" s="94"/>
      <c r="L47" s="117"/>
    </row>
    <row r="48" spans="2:12" ht="12.6" customHeight="1" x14ac:dyDescent="0.2">
      <c r="B48" s="2"/>
      <c r="C48" s="2" t="s">
        <v>794</v>
      </c>
      <c r="E48" s="121">
        <f>SUM(E46:E47)</f>
        <v>0</v>
      </c>
      <c r="K48" s="94"/>
      <c r="L48" s="117"/>
    </row>
    <row r="49" spans="2:12" ht="6" customHeight="1" x14ac:dyDescent="0.2">
      <c r="K49" s="94"/>
      <c r="L49" s="117"/>
    </row>
    <row r="50" spans="2:12" ht="12.6" customHeight="1" x14ac:dyDescent="0.2">
      <c r="B50" s="10"/>
      <c r="C50" s="2" t="s">
        <v>84</v>
      </c>
      <c r="K50" s="94"/>
      <c r="L50" s="117">
        <f t="shared" si="0"/>
        <v>0</v>
      </c>
    </row>
    <row r="51" spans="2:12" ht="12.6" customHeight="1" x14ac:dyDescent="0.2">
      <c r="B51" s="8" t="s">
        <v>70</v>
      </c>
      <c r="C51" s="8" t="s">
        <v>526</v>
      </c>
      <c r="E51" s="11">
        <v>26640</v>
      </c>
      <c r="I51" s="4"/>
      <c r="J51" s="4"/>
      <c r="K51" s="94"/>
      <c r="L51" s="117">
        <f t="shared" si="0"/>
        <v>0</v>
      </c>
    </row>
    <row r="52" spans="2:12" ht="12.6" customHeight="1" x14ac:dyDescent="0.2">
      <c r="B52" s="8" t="s">
        <v>70</v>
      </c>
      <c r="C52" s="8" t="s">
        <v>531</v>
      </c>
      <c r="E52" s="11">
        <v>5140</v>
      </c>
      <c r="I52" s="4"/>
      <c r="J52" s="4"/>
      <c r="K52" s="94"/>
      <c r="L52" s="117">
        <f t="shared" si="0"/>
        <v>0</v>
      </c>
    </row>
    <row r="53" spans="2:12" ht="12.6" customHeight="1" x14ac:dyDescent="0.2">
      <c r="B53" s="8" t="s">
        <v>70</v>
      </c>
      <c r="C53" s="8" t="s">
        <v>527</v>
      </c>
      <c r="E53" s="11"/>
      <c r="I53" s="4"/>
      <c r="J53" s="4"/>
      <c r="K53" s="94"/>
      <c r="L53" s="117">
        <f t="shared" si="0"/>
        <v>0</v>
      </c>
    </row>
    <row r="54" spans="2:12" ht="12.6" customHeight="1" x14ac:dyDescent="0.2">
      <c r="B54" s="8" t="s">
        <v>70</v>
      </c>
      <c r="C54" s="8" t="s">
        <v>528</v>
      </c>
      <c r="E54" s="11"/>
      <c r="I54" s="4"/>
      <c r="J54" s="4"/>
      <c r="K54" s="94"/>
      <c r="L54" s="117">
        <f t="shared" si="0"/>
        <v>0</v>
      </c>
    </row>
    <row r="55" spans="2:12" ht="12.6" customHeight="1" x14ac:dyDescent="0.2">
      <c r="B55" s="8" t="s">
        <v>70</v>
      </c>
      <c r="C55" s="8" t="s">
        <v>529</v>
      </c>
      <c r="E55" s="11"/>
      <c r="I55" s="107"/>
      <c r="J55" s="107"/>
      <c r="K55" s="94"/>
      <c r="L55" s="117">
        <f t="shared" si="0"/>
        <v>0</v>
      </c>
    </row>
    <row r="56" spans="2:12" ht="12.6" customHeight="1" x14ac:dyDescent="0.2">
      <c r="B56" s="2"/>
      <c r="C56" s="2" t="s">
        <v>744</v>
      </c>
      <c r="E56" s="121">
        <f>SUM(E51:E55)</f>
        <v>31780</v>
      </c>
      <c r="I56" s="123"/>
      <c r="J56" s="174"/>
      <c r="K56" s="94"/>
      <c r="L56" s="117">
        <f t="shared" si="0"/>
        <v>0</v>
      </c>
    </row>
    <row r="57" spans="2:12" ht="6" customHeight="1" x14ac:dyDescent="0.2">
      <c r="K57" s="94"/>
      <c r="L57" s="117">
        <f t="shared" si="0"/>
        <v>0</v>
      </c>
    </row>
    <row r="58" spans="2:12" ht="12.6" customHeight="1" x14ac:dyDescent="0.2">
      <c r="B58" s="10"/>
      <c r="C58" s="2" t="s">
        <v>88</v>
      </c>
      <c r="K58" s="94"/>
      <c r="L58" s="117">
        <f t="shared" si="0"/>
        <v>0</v>
      </c>
    </row>
    <row r="59" spans="2:12" ht="12.6" customHeight="1" x14ac:dyDescent="0.2">
      <c r="B59" s="8" t="s">
        <v>3</v>
      </c>
      <c r="C59" s="8" t="s">
        <v>735</v>
      </c>
      <c r="E59" s="11"/>
      <c r="I59" s="4"/>
      <c r="J59" s="4"/>
      <c r="K59" s="94"/>
      <c r="L59" s="117">
        <f t="shared" si="0"/>
        <v>0</v>
      </c>
    </row>
    <row r="60" spans="2:12" ht="12.6" customHeight="1" x14ac:dyDescent="0.2">
      <c r="B60" s="8" t="s">
        <v>3</v>
      </c>
      <c r="C60" s="8" t="s">
        <v>89</v>
      </c>
      <c r="E60" s="11"/>
      <c r="I60" s="107"/>
      <c r="J60" s="107"/>
      <c r="K60" s="94"/>
      <c r="L60" s="117">
        <f t="shared" si="0"/>
        <v>0</v>
      </c>
    </row>
    <row r="61" spans="2:12" ht="12.6" customHeight="1" x14ac:dyDescent="0.2">
      <c r="B61" s="2"/>
      <c r="C61" s="2" t="s">
        <v>745</v>
      </c>
      <c r="E61" s="121">
        <f>SUM(E59:E60)</f>
        <v>0</v>
      </c>
      <c r="J61" s="123"/>
      <c r="K61" s="94"/>
      <c r="L61" s="117">
        <f t="shared" si="0"/>
        <v>0</v>
      </c>
    </row>
    <row r="62" spans="2:12" ht="6" customHeight="1" x14ac:dyDescent="0.2">
      <c r="J62" s="123"/>
      <c r="K62" s="94"/>
      <c r="L62" s="117">
        <f t="shared" si="0"/>
        <v>0</v>
      </c>
    </row>
    <row r="63" spans="2:12" ht="12.6" customHeight="1" x14ac:dyDescent="0.2">
      <c r="B63" s="8" t="s">
        <v>4</v>
      </c>
      <c r="C63" s="2" t="s">
        <v>90</v>
      </c>
      <c r="E63" s="11"/>
      <c r="J63" s="123"/>
      <c r="K63" s="94"/>
      <c r="L63" s="117">
        <f t="shared" si="0"/>
        <v>0</v>
      </c>
    </row>
    <row r="64" spans="2:12" ht="12.6" customHeight="1" x14ac:dyDescent="0.2">
      <c r="C64" s="2" t="s">
        <v>734</v>
      </c>
      <c r="J64" s="123"/>
      <c r="K64" s="94"/>
      <c r="L64" s="117">
        <f t="shared" si="0"/>
        <v>0</v>
      </c>
    </row>
    <row r="65" spans="2:12" ht="12.6" customHeight="1" x14ac:dyDescent="0.2">
      <c r="B65" s="8" t="s">
        <v>535</v>
      </c>
      <c r="C65" s="8" t="s">
        <v>536</v>
      </c>
      <c r="E65" s="11"/>
      <c r="J65" s="123"/>
      <c r="K65" s="94"/>
      <c r="L65" s="117">
        <f t="shared" si="0"/>
        <v>0</v>
      </c>
    </row>
    <row r="66" spans="2:12" ht="12.6" customHeight="1" x14ac:dyDescent="0.2">
      <c r="B66" s="8" t="s">
        <v>534</v>
      </c>
      <c r="C66" s="8" t="s">
        <v>537</v>
      </c>
      <c r="E66" s="11"/>
      <c r="J66" s="123"/>
      <c r="K66" s="94"/>
      <c r="L66" s="117">
        <f t="shared" si="0"/>
        <v>0</v>
      </c>
    </row>
    <row r="67" spans="2:12" ht="12.6" customHeight="1" x14ac:dyDescent="0.2">
      <c r="B67" s="8" t="s">
        <v>534</v>
      </c>
      <c r="C67" s="95" t="s">
        <v>855</v>
      </c>
      <c r="E67" s="11">
        <v>2840</v>
      </c>
      <c r="J67" s="123"/>
      <c r="K67" s="94"/>
      <c r="L67" s="117">
        <f t="shared" si="0"/>
        <v>0</v>
      </c>
    </row>
    <row r="68" spans="2:12" ht="12.6" customHeight="1" x14ac:dyDescent="0.2">
      <c r="B68" s="8" t="s">
        <v>534</v>
      </c>
      <c r="C68" s="95" t="s">
        <v>538</v>
      </c>
      <c r="E68" s="11"/>
      <c r="J68" s="123"/>
      <c r="K68" s="94"/>
      <c r="L68" s="117">
        <f t="shared" si="0"/>
        <v>0</v>
      </c>
    </row>
    <row r="69" spans="2:12" ht="12.6" customHeight="1" x14ac:dyDescent="0.2">
      <c r="B69" s="2"/>
      <c r="C69" s="2" t="s">
        <v>747</v>
      </c>
      <c r="E69" s="121">
        <f>SUM(E65:E68)</f>
        <v>2840</v>
      </c>
      <c r="J69" s="123"/>
      <c r="K69" s="94"/>
      <c r="L69" s="117">
        <f t="shared" si="0"/>
        <v>0</v>
      </c>
    </row>
    <row r="70" spans="2:12" ht="6" customHeight="1" x14ac:dyDescent="0.2">
      <c r="J70" s="123"/>
      <c r="K70" s="94"/>
      <c r="L70" s="117">
        <f t="shared" si="0"/>
        <v>0</v>
      </c>
    </row>
    <row r="71" spans="2:12" ht="12.6" customHeight="1" x14ac:dyDescent="0.2">
      <c r="B71" s="8" t="s">
        <v>5</v>
      </c>
      <c r="C71" s="2" t="s">
        <v>91</v>
      </c>
      <c r="E71" s="11"/>
      <c r="J71" s="123"/>
      <c r="K71" s="94"/>
      <c r="L71" s="117">
        <f t="shared" si="0"/>
        <v>0</v>
      </c>
    </row>
    <row r="72" spans="2:12" ht="12.6" customHeight="1" x14ac:dyDescent="0.2">
      <c r="B72" s="8" t="s">
        <v>6</v>
      </c>
      <c r="C72" s="2" t="s">
        <v>98</v>
      </c>
      <c r="E72" s="11">
        <v>0</v>
      </c>
      <c r="J72" s="123"/>
      <c r="K72" s="94"/>
      <c r="L72" s="117">
        <f t="shared" si="0"/>
        <v>0</v>
      </c>
    </row>
    <row r="73" spans="2:12" ht="12.6" customHeight="1" x14ac:dyDescent="0.2">
      <c r="B73" s="8" t="s">
        <v>7</v>
      </c>
      <c r="C73" s="2" t="s">
        <v>10</v>
      </c>
      <c r="E73" s="11"/>
      <c r="J73" s="123"/>
      <c r="K73" s="94"/>
      <c r="L73" s="117">
        <f t="shared" si="0"/>
        <v>0</v>
      </c>
    </row>
    <row r="74" spans="2:12" ht="12.6" customHeight="1" x14ac:dyDescent="0.2">
      <c r="B74" s="8" t="s">
        <v>8</v>
      </c>
      <c r="C74" s="2" t="s">
        <v>92</v>
      </c>
      <c r="E74" s="11">
        <v>3800</v>
      </c>
      <c r="J74" s="123"/>
      <c r="K74" s="94"/>
      <c r="L74" s="117">
        <f t="shared" si="0"/>
        <v>0</v>
      </c>
    </row>
    <row r="75" spans="2:12" ht="12.6" customHeight="1" x14ac:dyDescent="0.2">
      <c r="B75" s="8" t="s">
        <v>9</v>
      </c>
      <c r="C75" s="2" t="s">
        <v>93</v>
      </c>
      <c r="E75" s="11">
        <v>3000</v>
      </c>
      <c r="J75" s="123"/>
      <c r="K75" s="94"/>
      <c r="L75" s="117">
        <f t="shared" si="0"/>
        <v>0</v>
      </c>
    </row>
    <row r="76" spans="2:12" ht="12.6" customHeight="1" x14ac:dyDescent="0.2">
      <c r="B76" s="8" t="s">
        <v>63</v>
      </c>
      <c r="C76" s="2" t="s">
        <v>392</v>
      </c>
      <c r="E76" s="11"/>
      <c r="K76" s="94"/>
      <c r="L76" s="117">
        <f t="shared" si="0"/>
        <v>0</v>
      </c>
    </row>
    <row r="77" spans="2:12" ht="6" customHeight="1" x14ac:dyDescent="0.2">
      <c r="B77" s="2"/>
      <c r="K77" s="94"/>
      <c r="L77" s="117">
        <f t="shared" si="0"/>
        <v>0</v>
      </c>
    </row>
    <row r="78" spans="2:12" ht="12.6" customHeight="1" x14ac:dyDescent="0.2">
      <c r="B78" s="10"/>
      <c r="C78" s="2" t="s">
        <v>94</v>
      </c>
      <c r="K78" s="94"/>
      <c r="L78" s="117">
        <f t="shared" si="0"/>
        <v>0</v>
      </c>
    </row>
    <row r="79" spans="2:12" ht="12.6" customHeight="1" x14ac:dyDescent="0.2">
      <c r="B79" s="8" t="s">
        <v>72</v>
      </c>
      <c r="C79" s="8" t="s">
        <v>95</v>
      </c>
      <c r="E79" s="11">
        <v>18008</v>
      </c>
      <c r="K79" s="94"/>
      <c r="L79" s="117">
        <f t="shared" si="0"/>
        <v>0</v>
      </c>
    </row>
    <row r="80" spans="2:12" ht="12.6" customHeight="1" x14ac:dyDescent="0.2">
      <c r="B80" s="8" t="s">
        <v>72</v>
      </c>
      <c r="C80" s="8" t="s">
        <v>96</v>
      </c>
      <c r="E80" s="11">
        <v>49993</v>
      </c>
      <c r="K80" s="94"/>
      <c r="L80" s="117">
        <f t="shared" ref="L80:L141" si="1">IF(LEFT(K80,5)="ERROR",1,0)</f>
        <v>0</v>
      </c>
    </row>
    <row r="81" spans="2:14" ht="12.6" customHeight="1" x14ac:dyDescent="0.2">
      <c r="B81" s="8" t="s">
        <v>72</v>
      </c>
      <c r="C81" s="95" t="s">
        <v>532</v>
      </c>
      <c r="E81" s="11"/>
      <c r="K81" s="94"/>
      <c r="L81" s="117"/>
    </row>
    <row r="82" spans="2:14" ht="12.6" customHeight="1" x14ac:dyDescent="0.2">
      <c r="B82" s="8" t="s">
        <v>72</v>
      </c>
      <c r="C82" s="95" t="s">
        <v>532</v>
      </c>
      <c r="E82" s="11"/>
      <c r="K82" s="94"/>
      <c r="L82" s="117"/>
    </row>
    <row r="83" spans="2:14" ht="12.6" customHeight="1" x14ac:dyDescent="0.2">
      <c r="B83" s="8" t="s">
        <v>72</v>
      </c>
      <c r="C83" s="95" t="s">
        <v>532</v>
      </c>
      <c r="E83" s="11"/>
      <c r="K83" s="94"/>
      <c r="L83" s="117">
        <f t="shared" si="1"/>
        <v>0</v>
      </c>
    </row>
    <row r="84" spans="2:14" ht="12.6" customHeight="1" x14ac:dyDescent="0.2">
      <c r="B84" s="2"/>
      <c r="C84" s="2" t="s">
        <v>748</v>
      </c>
      <c r="E84" s="121">
        <f>SUM(E79:E83)</f>
        <v>68001</v>
      </c>
      <c r="J84" s="123"/>
      <c r="K84" s="94"/>
      <c r="L84" s="117">
        <f t="shared" si="1"/>
        <v>0</v>
      </c>
    </row>
    <row r="85" spans="2:14" ht="6" customHeight="1" x14ac:dyDescent="0.2">
      <c r="K85" s="94"/>
      <c r="L85" s="117">
        <f t="shared" si="1"/>
        <v>0</v>
      </c>
      <c r="N85" s="116"/>
    </row>
    <row r="86" spans="2:14" ht="12.6" customHeight="1" thickBot="1" x14ac:dyDescent="0.25">
      <c r="B86" s="2" t="s">
        <v>97</v>
      </c>
      <c r="D86" s="2"/>
      <c r="E86" s="125">
        <f>E31+E36+E43+E48+E56+E61+E63+E69+E84+SUM(E71:E76)</f>
        <v>1208703</v>
      </c>
      <c r="F86" s="118"/>
      <c r="J86" s="118"/>
      <c r="K86" s="94"/>
      <c r="L86" s="117">
        <f t="shared" si="1"/>
        <v>0</v>
      </c>
    </row>
    <row r="87" spans="2:14" ht="6" customHeight="1" thickTop="1" x14ac:dyDescent="0.2">
      <c r="B87" s="119"/>
      <c r="C87" s="126"/>
      <c r="K87" s="94"/>
      <c r="L87" s="117">
        <f t="shared" si="1"/>
        <v>0</v>
      </c>
    </row>
    <row r="88" spans="2:14" ht="12.6" customHeight="1" x14ac:dyDescent="0.25">
      <c r="B88" s="15" t="s">
        <v>106</v>
      </c>
      <c r="K88" s="94"/>
      <c r="L88" s="117">
        <f t="shared" si="1"/>
        <v>0</v>
      </c>
    </row>
    <row r="89" spans="2:14" ht="12.6" customHeight="1" x14ac:dyDescent="0.2">
      <c r="B89" s="2" t="s">
        <v>41</v>
      </c>
      <c r="E89" s="4"/>
      <c r="F89" s="2"/>
      <c r="K89" s="94"/>
      <c r="L89" s="117">
        <f t="shared" si="1"/>
        <v>0</v>
      </c>
    </row>
    <row r="90" spans="2:14" ht="12.6" customHeight="1" x14ac:dyDescent="0.2">
      <c r="B90" s="8" t="s">
        <v>11</v>
      </c>
      <c r="C90" s="8" t="s">
        <v>100</v>
      </c>
      <c r="E90" s="11">
        <v>602198</v>
      </c>
      <c r="G90" s="127">
        <f t="shared" ref="G90:G100" si="2">IFERROR(E90/SUM($E$31,$E$36,$E$39:$E$41,$E$51:$E$54,$E$59,$E$63,$E$67,$E$84),"")</f>
        <v>0.5010371053238073</v>
      </c>
      <c r="I90" s="175"/>
      <c r="J90" s="123"/>
      <c r="K90" s="94"/>
      <c r="L90" s="117">
        <f t="shared" si="1"/>
        <v>0</v>
      </c>
      <c r="N90" s="116"/>
    </row>
    <row r="91" spans="2:14" ht="12.6" customHeight="1" x14ac:dyDescent="0.2">
      <c r="B91" s="8" t="s">
        <v>12</v>
      </c>
      <c r="C91" s="8" t="s">
        <v>492</v>
      </c>
      <c r="E91" s="11">
        <v>0</v>
      </c>
      <c r="G91" s="127">
        <f t="shared" si="2"/>
        <v>0</v>
      </c>
      <c r="I91" s="175"/>
      <c r="J91" s="123"/>
      <c r="K91" s="94"/>
      <c r="L91" s="117">
        <f t="shared" si="1"/>
        <v>0</v>
      </c>
    </row>
    <row r="92" spans="2:14" ht="12.6" customHeight="1" x14ac:dyDescent="0.2">
      <c r="B92" s="8" t="s">
        <v>13</v>
      </c>
      <c r="C92" s="8" t="s">
        <v>493</v>
      </c>
      <c r="E92" s="11">
        <v>160478</v>
      </c>
      <c r="G92" s="127">
        <f t="shared" si="2"/>
        <v>0.1335199263168492</v>
      </c>
      <c r="I92" s="175"/>
      <c r="J92" s="123"/>
      <c r="K92" s="94"/>
      <c r="L92" s="117">
        <f t="shared" si="1"/>
        <v>0</v>
      </c>
    </row>
    <row r="93" spans="2:14" ht="12.6" customHeight="1" x14ac:dyDescent="0.2">
      <c r="B93" s="8" t="s">
        <v>14</v>
      </c>
      <c r="C93" s="8" t="s">
        <v>494</v>
      </c>
      <c r="E93" s="11">
        <v>40024</v>
      </c>
      <c r="G93" s="127">
        <f t="shared" si="2"/>
        <v>3.3300524251957106E-2</v>
      </c>
      <c r="I93" s="175"/>
      <c r="J93" s="123"/>
      <c r="K93" s="94"/>
      <c r="L93" s="117">
        <f t="shared" si="1"/>
        <v>0</v>
      </c>
    </row>
    <row r="94" spans="2:14" ht="12.6" customHeight="1" x14ac:dyDescent="0.2">
      <c r="B94" s="8" t="s">
        <v>15</v>
      </c>
      <c r="C94" s="8" t="s">
        <v>495</v>
      </c>
      <c r="E94" s="11">
        <v>92107</v>
      </c>
      <c r="G94" s="127">
        <f t="shared" si="2"/>
        <v>7.663430409941567E-2</v>
      </c>
      <c r="I94" s="175"/>
      <c r="J94" s="123"/>
      <c r="K94" s="94"/>
      <c r="L94" s="117">
        <f t="shared" si="1"/>
        <v>0</v>
      </c>
    </row>
    <row r="95" spans="2:14" ht="12.6" customHeight="1" x14ac:dyDescent="0.2">
      <c r="B95" s="8" t="s">
        <v>16</v>
      </c>
      <c r="C95" s="8" t="s">
        <v>496</v>
      </c>
      <c r="E95" s="11">
        <v>0</v>
      </c>
      <c r="G95" s="127">
        <f t="shared" si="2"/>
        <v>0</v>
      </c>
      <c r="I95" s="175"/>
      <c r="J95" s="123"/>
      <c r="K95" s="94"/>
      <c r="L95" s="117">
        <f t="shared" si="1"/>
        <v>0</v>
      </c>
    </row>
    <row r="96" spans="2:14" ht="12.6" customHeight="1" x14ac:dyDescent="0.2">
      <c r="B96" s="8" t="s">
        <v>17</v>
      </c>
      <c r="C96" s="8" t="s">
        <v>497</v>
      </c>
      <c r="E96" s="11">
        <v>30226</v>
      </c>
      <c r="G96" s="127">
        <f t="shared" si="2"/>
        <v>2.514845207974354E-2</v>
      </c>
      <c r="I96" s="175"/>
      <c r="J96" s="123"/>
      <c r="K96" s="94"/>
      <c r="L96" s="117">
        <f t="shared" si="1"/>
        <v>0</v>
      </c>
    </row>
    <row r="97" spans="2:12" ht="12.6" customHeight="1" x14ac:dyDescent="0.2">
      <c r="B97" s="8" t="s">
        <v>18</v>
      </c>
      <c r="C97" s="8" t="s">
        <v>539</v>
      </c>
      <c r="E97" s="11">
        <v>510</v>
      </c>
      <c r="G97" s="127">
        <f t="shared" si="2"/>
        <v>4.2432708795967725E-4</v>
      </c>
      <c r="I97" s="175"/>
      <c r="J97" s="123"/>
      <c r="K97" s="94"/>
      <c r="L97" s="117">
        <f t="shared" si="1"/>
        <v>0</v>
      </c>
    </row>
    <row r="98" spans="2:12" ht="12.6" customHeight="1" x14ac:dyDescent="0.2">
      <c r="B98" s="8" t="s">
        <v>19</v>
      </c>
      <c r="C98" s="8" t="s">
        <v>103</v>
      </c>
      <c r="E98" s="11">
        <v>4080</v>
      </c>
      <c r="G98" s="127">
        <f t="shared" si="2"/>
        <v>3.394616703677418E-3</v>
      </c>
      <c r="I98" s="175"/>
      <c r="J98" s="123"/>
      <c r="K98" s="94"/>
      <c r="L98" s="117">
        <f t="shared" si="1"/>
        <v>0</v>
      </c>
    </row>
    <row r="99" spans="2:12" ht="12.6" customHeight="1" x14ac:dyDescent="0.2">
      <c r="B99" s="8" t="s">
        <v>20</v>
      </c>
      <c r="C99" s="8" t="s">
        <v>104</v>
      </c>
      <c r="E99" s="11">
        <v>7450</v>
      </c>
      <c r="G99" s="127">
        <f t="shared" si="2"/>
        <v>6.1985035398031286E-3</v>
      </c>
      <c r="I99" s="175"/>
      <c r="J99" s="123"/>
      <c r="K99" s="94"/>
      <c r="L99" s="117">
        <f t="shared" si="1"/>
        <v>0</v>
      </c>
    </row>
    <row r="100" spans="2:12" ht="12.6" customHeight="1" x14ac:dyDescent="0.2">
      <c r="B100" s="8" t="s">
        <v>21</v>
      </c>
      <c r="C100" s="8" t="s">
        <v>105</v>
      </c>
      <c r="E100" s="11">
        <v>0</v>
      </c>
      <c r="G100" s="127">
        <f t="shared" si="2"/>
        <v>0</v>
      </c>
      <c r="I100" s="175"/>
      <c r="J100" s="123"/>
      <c r="K100" s="94"/>
      <c r="L100" s="117">
        <f t="shared" si="1"/>
        <v>0</v>
      </c>
    </row>
    <row r="101" spans="2:12" ht="12.6" customHeight="1" x14ac:dyDescent="0.2">
      <c r="B101" s="2" t="s">
        <v>114</v>
      </c>
      <c r="E101" s="128">
        <f>SUM(E90:E100)</f>
        <v>937073</v>
      </c>
      <c r="F101" s="2"/>
      <c r="G101" s="130">
        <f>SUM(G90:G100)</f>
        <v>0.77965775940321302</v>
      </c>
      <c r="I101" s="176"/>
      <c r="J101" s="118"/>
      <c r="K101" s="94"/>
      <c r="L101" s="117">
        <f t="shared" si="1"/>
        <v>0</v>
      </c>
    </row>
    <row r="102" spans="2:12" ht="6" customHeight="1" x14ac:dyDescent="0.2">
      <c r="G102" s="178"/>
      <c r="I102" s="6"/>
      <c r="K102" s="94"/>
      <c r="L102" s="117">
        <f t="shared" si="1"/>
        <v>0</v>
      </c>
    </row>
    <row r="103" spans="2:12" ht="12.6" customHeight="1" x14ac:dyDescent="0.2">
      <c r="B103" s="2" t="s">
        <v>42</v>
      </c>
      <c r="E103" s="4"/>
      <c r="F103" s="2"/>
      <c r="I103" s="6"/>
      <c r="K103" s="94"/>
      <c r="L103" s="117">
        <f t="shared" si="1"/>
        <v>0</v>
      </c>
    </row>
    <row r="104" spans="2:12" ht="12.6" customHeight="1" x14ac:dyDescent="0.2">
      <c r="B104" s="8" t="s">
        <v>22</v>
      </c>
      <c r="C104" s="8" t="s">
        <v>107</v>
      </c>
      <c r="E104" s="11">
        <v>5100</v>
      </c>
      <c r="G104" s="127">
        <f t="shared" ref="G104:G110" si="3">IFERROR(E104/SUM($E$31,$E$36,$E$39:$E$41,$E$51:$E$54,$E$59,$E$63,$E$67,$E$84),"")</f>
        <v>4.2432708795967725E-3</v>
      </c>
      <c r="I104" s="175"/>
      <c r="J104" s="123"/>
      <c r="K104" s="94"/>
      <c r="L104" s="117">
        <f t="shared" si="1"/>
        <v>0</v>
      </c>
    </row>
    <row r="105" spans="2:12" ht="12.6" customHeight="1" x14ac:dyDescent="0.2">
      <c r="B105" s="8" t="s">
        <v>23</v>
      </c>
      <c r="C105" s="8" t="s">
        <v>108</v>
      </c>
      <c r="E105" s="11">
        <v>9675</v>
      </c>
      <c r="G105" s="127">
        <f t="shared" si="3"/>
        <v>8.0497344627644667E-3</v>
      </c>
      <c r="I105" s="175"/>
      <c r="J105" s="123"/>
      <c r="K105" s="94"/>
      <c r="L105" s="117">
        <f t="shared" si="1"/>
        <v>0</v>
      </c>
    </row>
    <row r="106" spans="2:12" ht="12.6" customHeight="1" x14ac:dyDescent="0.2">
      <c r="B106" s="8" t="s">
        <v>24</v>
      </c>
      <c r="C106" s="8" t="s">
        <v>109</v>
      </c>
      <c r="E106" s="11">
        <v>11455</v>
      </c>
      <c r="G106" s="127">
        <f t="shared" si="3"/>
        <v>9.5307192011335352E-3</v>
      </c>
      <c r="I106" s="175"/>
      <c r="J106" s="123"/>
      <c r="K106" s="94"/>
      <c r="L106" s="117">
        <f t="shared" si="1"/>
        <v>0</v>
      </c>
    </row>
    <row r="107" spans="2:12" ht="12.6" customHeight="1" x14ac:dyDescent="0.2">
      <c r="B107" s="8" t="s">
        <v>25</v>
      </c>
      <c r="C107" s="8" t="s">
        <v>110</v>
      </c>
      <c r="E107" s="11">
        <v>2550</v>
      </c>
      <c r="G107" s="127">
        <f t="shared" si="3"/>
        <v>2.1216354397983863E-3</v>
      </c>
      <c r="I107" s="175"/>
      <c r="J107" s="123"/>
      <c r="K107" s="94"/>
      <c r="L107" s="117">
        <f t="shared" si="1"/>
        <v>0</v>
      </c>
    </row>
    <row r="108" spans="2:12" ht="12.6" customHeight="1" x14ac:dyDescent="0.2">
      <c r="B108" s="8" t="s">
        <v>26</v>
      </c>
      <c r="C108" s="8" t="s">
        <v>111</v>
      </c>
      <c r="E108" s="11">
        <v>14000</v>
      </c>
      <c r="G108" s="127">
        <f t="shared" si="3"/>
        <v>1.1648194571442122E-2</v>
      </c>
      <c r="I108" s="175"/>
      <c r="J108" s="123"/>
      <c r="K108" s="94"/>
      <c r="L108" s="117">
        <f t="shared" si="1"/>
        <v>0</v>
      </c>
    </row>
    <row r="109" spans="2:12" ht="12.6" customHeight="1" x14ac:dyDescent="0.2">
      <c r="B109" s="8" t="s">
        <v>27</v>
      </c>
      <c r="C109" s="8" t="s">
        <v>40</v>
      </c>
      <c r="E109" s="11">
        <v>5100</v>
      </c>
      <c r="G109" s="127">
        <f t="shared" si="3"/>
        <v>4.2432708795967725E-3</v>
      </c>
      <c r="I109" s="175"/>
      <c r="J109" s="123"/>
      <c r="K109" s="94"/>
      <c r="L109" s="117">
        <f t="shared" si="1"/>
        <v>0</v>
      </c>
    </row>
    <row r="110" spans="2:12" ht="12.6" customHeight="1" x14ac:dyDescent="0.2">
      <c r="B110" s="8" t="s">
        <v>28</v>
      </c>
      <c r="C110" s="8" t="s">
        <v>112</v>
      </c>
      <c r="E110" s="11">
        <v>8897</v>
      </c>
      <c r="G110" s="127">
        <f t="shared" si="3"/>
        <v>7.4024276501514679E-3</v>
      </c>
      <c r="I110" s="175"/>
      <c r="J110" s="123"/>
      <c r="K110" s="94"/>
      <c r="L110" s="117">
        <f t="shared" si="1"/>
        <v>0</v>
      </c>
    </row>
    <row r="111" spans="2:12" ht="12.6" customHeight="1" x14ac:dyDescent="0.2">
      <c r="B111" s="2" t="s">
        <v>113</v>
      </c>
      <c r="E111" s="128">
        <f>SUM(E104:E110)</f>
        <v>56777</v>
      </c>
      <c r="F111" s="2"/>
      <c r="G111" s="130">
        <f>SUM(G104:G110)</f>
        <v>4.7239253084483519E-2</v>
      </c>
      <c r="I111" s="177"/>
      <c r="J111" s="118"/>
      <c r="K111" s="94"/>
      <c r="L111" s="117">
        <f t="shared" si="1"/>
        <v>0</v>
      </c>
    </row>
    <row r="112" spans="2:12" ht="6" customHeight="1" x14ac:dyDescent="0.2">
      <c r="G112" s="178"/>
      <c r="K112" s="94"/>
      <c r="L112" s="117">
        <f t="shared" si="1"/>
        <v>0</v>
      </c>
    </row>
    <row r="113" spans="2:12" ht="12.6" customHeight="1" x14ac:dyDescent="0.2">
      <c r="B113" s="2" t="s">
        <v>115</v>
      </c>
      <c r="E113" s="4"/>
      <c r="F113" s="2"/>
      <c r="K113" s="94"/>
      <c r="L113" s="117">
        <f t="shared" si="1"/>
        <v>0</v>
      </c>
    </row>
    <row r="114" spans="2:12" ht="12.6" customHeight="1" x14ac:dyDescent="0.2">
      <c r="B114" s="8" t="s">
        <v>29</v>
      </c>
      <c r="C114" s="8" t="s">
        <v>116</v>
      </c>
      <c r="E114" s="11">
        <v>45345</v>
      </c>
      <c r="G114" s="127">
        <f t="shared" ref="G114:G124" si="4">IFERROR(E114/SUM($E$31,$E$36,$E$39:$E$41,$E$51:$E$54,$E$59,$E$63,$E$67,$E$84),"")</f>
        <v>3.7727670203003071E-2</v>
      </c>
      <c r="I114" s="175"/>
      <c r="J114" s="123"/>
      <c r="K114" s="94"/>
      <c r="L114" s="117">
        <f t="shared" si="1"/>
        <v>0</v>
      </c>
    </row>
    <row r="115" spans="2:12" ht="12.6" customHeight="1" x14ac:dyDescent="0.2">
      <c r="B115" s="8" t="s">
        <v>30</v>
      </c>
      <c r="C115" s="8" t="s">
        <v>117</v>
      </c>
      <c r="E115" s="11">
        <v>8448</v>
      </c>
      <c r="G115" s="127">
        <f t="shared" si="4"/>
        <v>7.0288534099673602E-3</v>
      </c>
      <c r="I115" s="175"/>
      <c r="J115" s="123"/>
      <c r="K115" s="94"/>
      <c r="L115" s="117">
        <f t="shared" si="1"/>
        <v>0</v>
      </c>
    </row>
    <row r="116" spans="2:12" ht="12.6" customHeight="1" x14ac:dyDescent="0.2">
      <c r="B116" s="8" t="s">
        <v>31</v>
      </c>
      <c r="C116" s="8" t="s">
        <v>118</v>
      </c>
      <c r="E116" s="11">
        <v>0</v>
      </c>
      <c r="G116" s="127">
        <f t="shared" si="4"/>
        <v>0</v>
      </c>
      <c r="I116" s="175"/>
      <c r="J116" s="123"/>
      <c r="K116" s="94"/>
      <c r="L116" s="117">
        <f t="shared" si="1"/>
        <v>0</v>
      </c>
    </row>
    <row r="117" spans="2:12" ht="12.6" customHeight="1" x14ac:dyDescent="0.2">
      <c r="B117" s="8" t="s">
        <v>32</v>
      </c>
      <c r="C117" s="8" t="s">
        <v>119</v>
      </c>
      <c r="E117" s="11">
        <v>7093</v>
      </c>
      <c r="G117" s="127">
        <f t="shared" si="4"/>
        <v>5.9014745782313546E-3</v>
      </c>
      <c r="I117" s="175"/>
      <c r="J117" s="123"/>
      <c r="K117" s="94"/>
      <c r="L117" s="117">
        <f t="shared" si="1"/>
        <v>0</v>
      </c>
    </row>
    <row r="118" spans="2:12" ht="12.6" customHeight="1" x14ac:dyDescent="0.2">
      <c r="B118" s="8" t="s">
        <v>33</v>
      </c>
      <c r="C118" s="8" t="s">
        <v>120</v>
      </c>
      <c r="E118" s="11">
        <v>5253</v>
      </c>
      <c r="G118" s="127">
        <f t="shared" si="4"/>
        <v>4.3705690059846758E-3</v>
      </c>
      <c r="I118" s="175"/>
      <c r="J118" s="123"/>
      <c r="K118" s="94"/>
      <c r="L118" s="117">
        <f t="shared" si="1"/>
        <v>0</v>
      </c>
    </row>
    <row r="119" spans="2:12" ht="12.6" customHeight="1" x14ac:dyDescent="0.2">
      <c r="B119" s="8" t="s">
        <v>34</v>
      </c>
      <c r="C119" s="8" t="s">
        <v>121</v>
      </c>
      <c r="E119" s="11">
        <v>459</v>
      </c>
      <c r="G119" s="127">
        <f t="shared" si="4"/>
        <v>3.8189437916370957E-4</v>
      </c>
      <c r="I119" s="175"/>
      <c r="J119" s="123"/>
      <c r="K119" s="94"/>
      <c r="L119" s="117">
        <f t="shared" si="1"/>
        <v>0</v>
      </c>
    </row>
    <row r="120" spans="2:12" ht="12.6" customHeight="1" x14ac:dyDescent="0.2">
      <c r="B120" s="8" t="s">
        <v>35</v>
      </c>
      <c r="C120" s="8" t="s">
        <v>122</v>
      </c>
      <c r="E120" s="11">
        <v>49232</v>
      </c>
      <c r="G120" s="127">
        <f t="shared" si="4"/>
        <v>4.0961708224374178E-2</v>
      </c>
      <c r="I120" s="175"/>
      <c r="J120" s="123"/>
      <c r="K120" s="94"/>
      <c r="L120" s="117">
        <f t="shared" si="1"/>
        <v>0</v>
      </c>
    </row>
    <row r="121" spans="2:12" ht="12.6" customHeight="1" x14ac:dyDescent="0.2">
      <c r="B121" s="8" t="s">
        <v>36</v>
      </c>
      <c r="C121" s="8" t="s">
        <v>123</v>
      </c>
      <c r="E121" s="11">
        <v>32217</v>
      </c>
      <c r="G121" s="127">
        <f t="shared" si="4"/>
        <v>2.6804991750582201E-2</v>
      </c>
      <c r="I121" s="175"/>
      <c r="J121" s="123"/>
      <c r="K121" s="94"/>
      <c r="L121" s="117">
        <f t="shared" si="1"/>
        <v>0</v>
      </c>
    </row>
    <row r="122" spans="2:12" ht="12.6" customHeight="1" x14ac:dyDescent="0.2">
      <c r="B122" s="8" t="s">
        <v>37</v>
      </c>
      <c r="C122" s="8" t="s">
        <v>124</v>
      </c>
      <c r="E122" s="11">
        <v>17721</v>
      </c>
      <c r="G122" s="127">
        <f t="shared" si="4"/>
        <v>1.4744118285751845E-2</v>
      </c>
      <c r="I122" s="175"/>
      <c r="J122" s="123"/>
      <c r="K122" s="94"/>
      <c r="L122" s="117">
        <f t="shared" si="1"/>
        <v>0</v>
      </c>
    </row>
    <row r="123" spans="2:12" ht="12.6" customHeight="1" x14ac:dyDescent="0.2">
      <c r="B123" s="8" t="s">
        <v>38</v>
      </c>
      <c r="C123" s="8" t="s">
        <v>125</v>
      </c>
      <c r="E123" s="11">
        <v>30944</v>
      </c>
      <c r="G123" s="127">
        <f t="shared" si="4"/>
        <v>2.574583805847893E-2</v>
      </c>
      <c r="I123" s="175"/>
      <c r="J123" s="123"/>
      <c r="K123" s="94"/>
      <c r="L123" s="117">
        <f t="shared" si="1"/>
        <v>0</v>
      </c>
    </row>
    <row r="124" spans="2:12" ht="12.6" customHeight="1" x14ac:dyDescent="0.2">
      <c r="B124" s="8" t="s">
        <v>39</v>
      </c>
      <c r="C124" s="8" t="s">
        <v>574</v>
      </c>
      <c r="E124" s="11"/>
      <c r="G124" s="127">
        <f t="shared" si="4"/>
        <v>0</v>
      </c>
      <c r="I124" s="175"/>
      <c r="J124" s="123"/>
      <c r="K124" s="94"/>
      <c r="L124" s="117">
        <f t="shared" si="1"/>
        <v>0</v>
      </c>
    </row>
    <row r="125" spans="2:12" ht="12.6" customHeight="1" x14ac:dyDescent="0.2">
      <c r="B125" s="2" t="s">
        <v>126</v>
      </c>
      <c r="E125" s="128">
        <f>SUM(E114:E124)</f>
        <v>196712</v>
      </c>
      <c r="F125" s="2"/>
      <c r="G125" s="130">
        <f>SUM(G114:G124)</f>
        <v>0.16366711789553734</v>
      </c>
      <c r="J125" s="118"/>
      <c r="K125" s="94"/>
      <c r="L125" s="117">
        <f t="shared" si="1"/>
        <v>0</v>
      </c>
    </row>
    <row r="126" spans="2:12" ht="6" customHeight="1" x14ac:dyDescent="0.2">
      <c r="G126" s="178"/>
      <c r="K126" s="94"/>
      <c r="L126" s="117">
        <f t="shared" si="1"/>
        <v>0</v>
      </c>
    </row>
    <row r="127" spans="2:12" ht="12.6" customHeight="1" thickBot="1" x14ac:dyDescent="0.25">
      <c r="B127" s="2" t="s">
        <v>347</v>
      </c>
      <c r="D127" s="2"/>
      <c r="E127" s="125">
        <f>SUM(E90:E125)/2</f>
        <v>1190562</v>
      </c>
      <c r="F127" s="118">
        <f>SUM(F75:F124)</f>
        <v>0</v>
      </c>
      <c r="G127" s="131">
        <f>IFERROR(E127/SUM($E$31,$E$36,$E$39:$E$41,$E$51:$E$54,$E$59,$E$63,$E$67:$E$68,$E$84),"")</f>
        <v>0.99056413038323388</v>
      </c>
      <c r="K127" s="94"/>
      <c r="L127" s="117">
        <f t="shared" si="1"/>
        <v>0</v>
      </c>
    </row>
    <row r="128" spans="2:12" ht="6" customHeight="1" thickTop="1" x14ac:dyDescent="0.2">
      <c r="G128" s="178"/>
      <c r="K128" s="94"/>
      <c r="L128" s="117">
        <f t="shared" si="1"/>
        <v>0</v>
      </c>
    </row>
    <row r="129" spans="2:12" ht="12.6" customHeight="1" x14ac:dyDescent="0.2">
      <c r="B129" s="2" t="s">
        <v>333</v>
      </c>
      <c r="K129" s="94"/>
      <c r="L129" s="117">
        <f t="shared" si="1"/>
        <v>0</v>
      </c>
    </row>
    <row r="130" spans="2:12" ht="12.6" customHeight="1" x14ac:dyDescent="0.2">
      <c r="B130" s="8" t="s">
        <v>53</v>
      </c>
      <c r="C130" s="8" t="s">
        <v>334</v>
      </c>
      <c r="E130" s="11">
        <v>10000</v>
      </c>
      <c r="K130" s="94"/>
      <c r="L130" s="117">
        <f t="shared" si="1"/>
        <v>0</v>
      </c>
    </row>
    <row r="131" spans="2:12" ht="12.6" customHeight="1" x14ac:dyDescent="0.2">
      <c r="B131" s="8" t="s">
        <v>54</v>
      </c>
      <c r="C131" s="8" t="s">
        <v>58</v>
      </c>
      <c r="E131" s="132">
        <f>E132-E130</f>
        <v>92453</v>
      </c>
      <c r="K131" s="94"/>
      <c r="L131" s="117">
        <f t="shared" si="1"/>
        <v>0</v>
      </c>
    </row>
    <row r="132" spans="2:12" ht="12.6" customHeight="1" thickBot="1" x14ac:dyDescent="0.25">
      <c r="B132" s="2" t="s">
        <v>335</v>
      </c>
      <c r="E132" s="133">
        <f>E11+E86-E127</f>
        <v>102453</v>
      </c>
      <c r="K132" s="94"/>
      <c r="L132" s="117">
        <f t="shared" si="1"/>
        <v>0</v>
      </c>
    </row>
    <row r="133" spans="2:12" ht="12.6" customHeight="1" thickTop="1" thickBot="1" x14ac:dyDescent="0.25">
      <c r="B133" s="8"/>
      <c r="C133" s="8"/>
      <c r="E133" s="123"/>
      <c r="G133" s="4"/>
      <c r="K133" s="94"/>
      <c r="L133" s="117">
        <f t="shared" si="1"/>
        <v>0</v>
      </c>
    </row>
    <row r="134" spans="2:12" ht="12.6" customHeight="1" thickBot="1" x14ac:dyDescent="0.25">
      <c r="B134" s="134" t="s">
        <v>336</v>
      </c>
      <c r="C134" s="135"/>
      <c r="D134" s="135"/>
      <c r="E134" s="136">
        <f>E132-E11</f>
        <v>18141</v>
      </c>
      <c r="K134" s="94"/>
      <c r="L134" s="117">
        <f t="shared" si="1"/>
        <v>0</v>
      </c>
    </row>
    <row r="135" spans="2:12" ht="6.6" customHeight="1" x14ac:dyDescent="0.2">
      <c r="B135" s="8"/>
      <c r="G135" s="4"/>
      <c r="K135" s="94"/>
      <c r="L135" s="117">
        <f t="shared" si="1"/>
        <v>0</v>
      </c>
    </row>
    <row r="136" spans="2:12" ht="15.75" x14ac:dyDescent="0.25">
      <c r="B136" s="15" t="s">
        <v>648</v>
      </c>
      <c r="K136" s="94"/>
      <c r="L136" s="117">
        <f t="shared" si="1"/>
        <v>0</v>
      </c>
    </row>
    <row r="137" spans="2:12" x14ac:dyDescent="0.2">
      <c r="B137" s="8" t="s">
        <v>512</v>
      </c>
      <c r="C137" s="8" t="s">
        <v>650</v>
      </c>
      <c r="E137" s="158">
        <f>'Budget Plan Year 1'!I203</f>
        <v>195824</v>
      </c>
      <c r="I137" s="123"/>
      <c r="J137" s="174"/>
      <c r="K137" s="94"/>
      <c r="L137" s="117">
        <f t="shared" si="1"/>
        <v>0</v>
      </c>
    </row>
    <row r="138" spans="2:12" ht="13.5" customHeight="1" x14ac:dyDescent="0.2">
      <c r="B138" s="8" t="s">
        <v>540</v>
      </c>
      <c r="C138" s="8" t="s">
        <v>641</v>
      </c>
      <c r="E138" s="138">
        <f>-E10</f>
        <v>0</v>
      </c>
      <c r="K138" s="8" t="str">
        <f>IF(E138&lt;&gt;0,"Subject to approval by LA - see Section P of Finance Manual","")</f>
        <v/>
      </c>
      <c r="L138" s="117">
        <f t="shared" si="1"/>
        <v>0</v>
      </c>
    </row>
    <row r="139" spans="2:12" ht="13.5" customHeight="1" thickBot="1" x14ac:dyDescent="0.25">
      <c r="B139" s="2" t="s">
        <v>548</v>
      </c>
      <c r="C139" s="8"/>
      <c r="E139" s="120">
        <f>SUM(E137:E138)</f>
        <v>195824</v>
      </c>
      <c r="K139" s="94"/>
      <c r="L139" s="117">
        <f t="shared" si="1"/>
        <v>0</v>
      </c>
    </row>
    <row r="140" spans="2:12" ht="6.95" customHeight="1" thickTop="1" x14ac:dyDescent="0.2">
      <c r="C140" s="8"/>
      <c r="E140" s="116"/>
      <c r="K140" s="94"/>
      <c r="L140" s="117">
        <f t="shared" si="1"/>
        <v>0</v>
      </c>
    </row>
    <row r="141" spans="2:12" ht="15.75" x14ac:dyDescent="0.25">
      <c r="B141" s="15" t="s">
        <v>311</v>
      </c>
      <c r="K141" s="94"/>
      <c r="L141" s="117">
        <f t="shared" si="1"/>
        <v>0</v>
      </c>
    </row>
    <row r="142" spans="2:12" x14ac:dyDescent="0.2">
      <c r="B142" s="10"/>
      <c r="C142" s="10" t="s">
        <v>312</v>
      </c>
      <c r="E142" s="4"/>
      <c r="F142" s="2"/>
      <c r="K142" s="94"/>
      <c r="L142" s="117">
        <f t="shared" ref="L142:L204" si="5">IF(LEFT(K142,5)="ERROR",1,0)</f>
        <v>0</v>
      </c>
    </row>
    <row r="143" spans="2:12" x14ac:dyDescent="0.2">
      <c r="B143" s="8" t="s">
        <v>64</v>
      </c>
      <c r="C143" s="8" t="s">
        <v>60</v>
      </c>
      <c r="E143" s="12"/>
      <c r="K143" s="94"/>
      <c r="L143" s="117">
        <f t="shared" si="5"/>
        <v>0</v>
      </c>
    </row>
    <row r="144" spans="2:12" x14ac:dyDescent="0.2">
      <c r="B144" s="8" t="s">
        <v>64</v>
      </c>
      <c r="C144" s="95" t="s">
        <v>545</v>
      </c>
      <c r="E144" s="12"/>
      <c r="I144" s="4"/>
      <c r="J144" s="4"/>
      <c r="K144" s="94"/>
      <c r="L144" s="117">
        <f t="shared" si="5"/>
        <v>0</v>
      </c>
    </row>
    <row r="145" spans="2:12" x14ac:dyDescent="0.2">
      <c r="B145" s="8" t="s">
        <v>64</v>
      </c>
      <c r="C145" s="95" t="s">
        <v>545</v>
      </c>
      <c r="E145" s="12"/>
      <c r="I145" s="107"/>
      <c r="J145" s="107"/>
      <c r="K145" s="94"/>
      <c r="L145" s="117">
        <f t="shared" si="5"/>
        <v>0</v>
      </c>
    </row>
    <row r="146" spans="2:12" x14ac:dyDescent="0.2">
      <c r="B146" s="8" t="s">
        <v>64</v>
      </c>
      <c r="C146" s="8" t="s">
        <v>759</v>
      </c>
      <c r="E146" s="12"/>
      <c r="I146" s="107"/>
      <c r="J146" s="107"/>
      <c r="K146" s="94"/>
      <c r="L146" s="117">
        <f t="shared" si="5"/>
        <v>0</v>
      </c>
    </row>
    <row r="147" spans="2:12" x14ac:dyDescent="0.2">
      <c r="B147" s="8" t="s">
        <v>64</v>
      </c>
      <c r="C147" s="95" t="s">
        <v>546</v>
      </c>
      <c r="E147" s="12"/>
      <c r="I147" s="107"/>
      <c r="J147" s="107"/>
      <c r="K147" s="94"/>
      <c r="L147" s="117">
        <f t="shared" si="5"/>
        <v>0</v>
      </c>
    </row>
    <row r="148" spans="2:12" x14ac:dyDescent="0.2">
      <c r="B148" s="2"/>
      <c r="C148" s="2" t="s">
        <v>749</v>
      </c>
      <c r="E148" s="140">
        <f>SUM(E143:E147)</f>
        <v>0</v>
      </c>
      <c r="J148" s="123"/>
      <c r="K148" s="94"/>
      <c r="L148" s="117">
        <f t="shared" si="5"/>
        <v>0</v>
      </c>
    </row>
    <row r="149" spans="2:12" ht="9.9499999999999993" customHeight="1" x14ac:dyDescent="0.2">
      <c r="B149" s="2"/>
      <c r="C149" s="2"/>
      <c r="J149" s="123"/>
      <c r="K149" s="94"/>
      <c r="L149" s="117">
        <f t="shared" si="5"/>
        <v>0</v>
      </c>
    </row>
    <row r="150" spans="2:12" x14ac:dyDescent="0.2">
      <c r="B150" s="10"/>
      <c r="C150" s="10" t="s">
        <v>315</v>
      </c>
      <c r="J150" s="123"/>
      <c r="K150" s="94"/>
      <c r="L150" s="117">
        <f t="shared" si="5"/>
        <v>0</v>
      </c>
    </row>
    <row r="151" spans="2:12" x14ac:dyDescent="0.2">
      <c r="B151" s="8" t="s">
        <v>66</v>
      </c>
      <c r="C151" s="8" t="s">
        <v>313</v>
      </c>
      <c r="E151" s="12">
        <v>130609</v>
      </c>
      <c r="J151" s="123"/>
      <c r="K151" s="94"/>
      <c r="L151" s="117">
        <f t="shared" si="5"/>
        <v>0</v>
      </c>
    </row>
    <row r="152" spans="2:12" x14ac:dyDescent="0.2">
      <c r="B152" s="8" t="s">
        <v>66</v>
      </c>
      <c r="C152" s="8" t="s">
        <v>314</v>
      </c>
      <c r="E152" s="12"/>
      <c r="J152" s="123"/>
      <c r="K152" s="94"/>
      <c r="L152" s="117">
        <f t="shared" si="5"/>
        <v>0</v>
      </c>
    </row>
    <row r="153" spans="2:12" x14ac:dyDescent="0.2">
      <c r="B153" s="8" t="s">
        <v>66</v>
      </c>
      <c r="C153" s="95" t="s">
        <v>547</v>
      </c>
      <c r="E153" s="12"/>
      <c r="J153" s="123"/>
      <c r="K153" s="94"/>
      <c r="L153" s="117">
        <f t="shared" si="5"/>
        <v>0</v>
      </c>
    </row>
    <row r="154" spans="2:12" x14ac:dyDescent="0.2">
      <c r="B154" s="8" t="s">
        <v>66</v>
      </c>
      <c r="C154" s="95" t="s">
        <v>547</v>
      </c>
      <c r="E154" s="12"/>
      <c r="J154" s="123"/>
      <c r="K154" s="94"/>
      <c r="L154" s="117">
        <f t="shared" si="5"/>
        <v>0</v>
      </c>
    </row>
    <row r="155" spans="2:12" x14ac:dyDescent="0.2">
      <c r="B155" s="2"/>
      <c r="C155" s="2" t="s">
        <v>750</v>
      </c>
      <c r="E155" s="140">
        <f>SUM(E151:E154)</f>
        <v>130609</v>
      </c>
      <c r="J155" s="123"/>
      <c r="K155" s="94"/>
      <c r="L155" s="117">
        <f t="shared" si="5"/>
        <v>0</v>
      </c>
    </row>
    <row r="156" spans="2:12" ht="9.9499999999999993" customHeight="1" x14ac:dyDescent="0.2">
      <c r="B156" s="2"/>
      <c r="C156" s="2"/>
      <c r="J156" s="123"/>
      <c r="K156" s="94"/>
      <c r="L156" s="117">
        <f t="shared" si="5"/>
        <v>0</v>
      </c>
    </row>
    <row r="157" spans="2:12" ht="13.5" thickBot="1" x14ac:dyDescent="0.25">
      <c r="B157" s="2" t="s">
        <v>316</v>
      </c>
      <c r="D157" s="2"/>
      <c r="E157" s="125">
        <f>E148+E155</f>
        <v>130609</v>
      </c>
      <c r="F157" s="118"/>
      <c r="J157" s="118"/>
      <c r="K157" s="94"/>
      <c r="L157" s="117">
        <f t="shared" si="5"/>
        <v>0</v>
      </c>
    </row>
    <row r="158" spans="2:12" ht="4.5" customHeight="1" thickTop="1" x14ac:dyDescent="0.2">
      <c r="K158" s="94"/>
      <c r="L158" s="117">
        <f t="shared" si="5"/>
        <v>0</v>
      </c>
    </row>
    <row r="159" spans="2:12" ht="15.75" x14ac:dyDescent="0.25">
      <c r="B159" s="15" t="s">
        <v>317</v>
      </c>
      <c r="K159" s="94"/>
      <c r="L159" s="117">
        <f t="shared" si="5"/>
        <v>0</v>
      </c>
    </row>
    <row r="160" spans="2:12" x14ac:dyDescent="0.2">
      <c r="B160" s="2" t="s">
        <v>41</v>
      </c>
      <c r="K160" s="94"/>
      <c r="L160" s="117">
        <f t="shared" si="5"/>
        <v>0</v>
      </c>
    </row>
    <row r="161" spans="2:12" x14ac:dyDescent="0.2">
      <c r="B161" s="10"/>
      <c r="C161" s="10" t="s">
        <v>318</v>
      </c>
      <c r="E161" s="4"/>
      <c r="F161" s="2"/>
      <c r="K161" s="94"/>
      <c r="L161" s="117">
        <f t="shared" si="5"/>
        <v>0</v>
      </c>
    </row>
    <row r="162" spans="2:12" x14ac:dyDescent="0.2">
      <c r="B162" s="8" t="s">
        <v>61</v>
      </c>
      <c r="C162" s="8" t="s">
        <v>498</v>
      </c>
      <c r="E162" s="11">
        <v>57851</v>
      </c>
      <c r="K162" s="94"/>
      <c r="L162" s="117">
        <f t="shared" si="5"/>
        <v>0</v>
      </c>
    </row>
    <row r="163" spans="2:12" x14ac:dyDescent="0.2">
      <c r="B163" s="8" t="s">
        <v>61</v>
      </c>
      <c r="C163" s="8" t="s">
        <v>499</v>
      </c>
      <c r="E163" s="11">
        <v>6995</v>
      </c>
      <c r="K163" s="94"/>
      <c r="L163" s="117">
        <f t="shared" si="5"/>
        <v>0</v>
      </c>
    </row>
    <row r="164" spans="2:12" x14ac:dyDescent="0.2">
      <c r="B164" s="2"/>
      <c r="C164" s="2" t="s">
        <v>751</v>
      </c>
      <c r="E164" s="140">
        <f>SUM(E162:E163)</f>
        <v>64846</v>
      </c>
      <c r="J164" s="123"/>
      <c r="K164" s="94"/>
      <c r="L164" s="117">
        <f t="shared" si="5"/>
        <v>0</v>
      </c>
    </row>
    <row r="165" spans="2:12" ht="9.9499999999999993" customHeight="1" x14ac:dyDescent="0.2">
      <c r="B165" s="8"/>
      <c r="C165" s="2"/>
      <c r="E165" s="141"/>
      <c r="J165" s="123"/>
      <c r="K165" s="94"/>
      <c r="L165" s="117">
        <f t="shared" si="5"/>
        <v>0</v>
      </c>
    </row>
    <row r="166" spans="2:12" x14ac:dyDescent="0.2">
      <c r="B166" s="10"/>
      <c r="C166" s="10" t="s">
        <v>319</v>
      </c>
      <c r="E166" s="4"/>
      <c r="F166" s="2"/>
      <c r="K166" s="94"/>
      <c r="L166" s="117">
        <f t="shared" si="5"/>
        <v>0</v>
      </c>
    </row>
    <row r="167" spans="2:12" x14ac:dyDescent="0.2">
      <c r="B167" s="8" t="s">
        <v>62</v>
      </c>
      <c r="C167" s="8" t="s">
        <v>322</v>
      </c>
      <c r="E167" s="11"/>
      <c r="K167" s="94"/>
      <c r="L167" s="117">
        <f t="shared" si="5"/>
        <v>0</v>
      </c>
    </row>
    <row r="168" spans="2:12" x14ac:dyDescent="0.2">
      <c r="B168" s="8" t="s">
        <v>62</v>
      </c>
      <c r="C168" s="8" t="s">
        <v>320</v>
      </c>
      <c r="E168" s="11"/>
      <c r="K168" s="94"/>
      <c r="L168" s="117">
        <f t="shared" si="5"/>
        <v>0</v>
      </c>
    </row>
    <row r="169" spans="2:12" x14ac:dyDescent="0.2">
      <c r="B169" s="8" t="s">
        <v>62</v>
      </c>
      <c r="C169" s="8" t="s">
        <v>321</v>
      </c>
      <c r="E169" s="11">
        <v>110</v>
      </c>
      <c r="K169" s="94"/>
      <c r="L169" s="117">
        <f t="shared" si="5"/>
        <v>0</v>
      </c>
    </row>
    <row r="170" spans="2:12" x14ac:dyDescent="0.2">
      <c r="B170" s="8" t="s">
        <v>62</v>
      </c>
      <c r="C170" s="95" t="s">
        <v>550</v>
      </c>
      <c r="E170" s="11"/>
      <c r="K170" s="94"/>
      <c r="L170" s="117">
        <f t="shared" si="5"/>
        <v>0</v>
      </c>
    </row>
    <row r="171" spans="2:12" x14ac:dyDescent="0.2">
      <c r="B171" s="8" t="s">
        <v>62</v>
      </c>
      <c r="C171" s="95" t="s">
        <v>550</v>
      </c>
      <c r="E171" s="11"/>
      <c r="K171" s="94"/>
      <c r="L171" s="117">
        <f t="shared" si="5"/>
        <v>0</v>
      </c>
    </row>
    <row r="172" spans="2:12" ht="9.9499999999999993" customHeight="1" x14ac:dyDescent="0.2">
      <c r="B172" s="8"/>
      <c r="C172" s="2"/>
      <c r="E172" s="141"/>
      <c r="K172" s="94"/>
      <c r="L172" s="117">
        <f t="shared" si="5"/>
        <v>0</v>
      </c>
    </row>
    <row r="173" spans="2:12" x14ac:dyDescent="0.2">
      <c r="B173" s="2" t="s">
        <v>42</v>
      </c>
      <c r="K173" s="94"/>
      <c r="L173" s="117">
        <f t="shared" si="5"/>
        <v>0</v>
      </c>
    </row>
    <row r="174" spans="2:12" x14ac:dyDescent="0.2">
      <c r="B174" s="10"/>
      <c r="C174" s="10" t="s">
        <v>323</v>
      </c>
      <c r="E174" s="4"/>
      <c r="F174" s="2"/>
      <c r="K174" s="94"/>
      <c r="L174" s="117">
        <f t="shared" si="5"/>
        <v>0</v>
      </c>
    </row>
    <row r="175" spans="2:12" x14ac:dyDescent="0.2">
      <c r="B175" s="8" t="s">
        <v>62</v>
      </c>
      <c r="C175" s="8" t="s">
        <v>324</v>
      </c>
      <c r="E175" s="11"/>
      <c r="K175" s="94"/>
      <c r="L175" s="117">
        <f t="shared" si="5"/>
        <v>0</v>
      </c>
    </row>
    <row r="176" spans="2:12" x14ac:dyDescent="0.2">
      <c r="B176" s="8" t="s">
        <v>62</v>
      </c>
      <c r="C176" s="8" t="s">
        <v>325</v>
      </c>
      <c r="E176" s="11"/>
      <c r="K176" s="94"/>
      <c r="L176" s="117">
        <f t="shared" si="5"/>
        <v>0</v>
      </c>
    </row>
    <row r="177" spans="2:12" x14ac:dyDescent="0.2">
      <c r="B177" s="8" t="s">
        <v>62</v>
      </c>
      <c r="C177" s="8" t="s">
        <v>326</v>
      </c>
      <c r="E177" s="11">
        <v>1300</v>
      </c>
      <c r="K177" s="94"/>
      <c r="L177" s="117">
        <f t="shared" si="5"/>
        <v>0</v>
      </c>
    </row>
    <row r="178" spans="2:12" x14ac:dyDescent="0.2">
      <c r="B178" s="8" t="s">
        <v>62</v>
      </c>
      <c r="C178" s="8" t="s">
        <v>327</v>
      </c>
      <c r="E178" s="11">
        <v>1100</v>
      </c>
      <c r="K178" s="94"/>
      <c r="L178" s="117">
        <f t="shared" si="5"/>
        <v>0</v>
      </c>
    </row>
    <row r="179" spans="2:12" x14ac:dyDescent="0.2">
      <c r="B179" s="8" t="s">
        <v>62</v>
      </c>
      <c r="C179" s="8" t="s">
        <v>40</v>
      </c>
      <c r="E179" s="11"/>
      <c r="K179" s="94"/>
      <c r="L179" s="117">
        <f t="shared" si="5"/>
        <v>0</v>
      </c>
    </row>
    <row r="180" spans="2:12" x14ac:dyDescent="0.2">
      <c r="B180" s="8" t="s">
        <v>62</v>
      </c>
      <c r="C180" s="95" t="s">
        <v>551</v>
      </c>
      <c r="E180" s="11"/>
      <c r="K180" s="94"/>
      <c r="L180" s="117">
        <f t="shared" si="5"/>
        <v>0</v>
      </c>
    </row>
    <row r="181" spans="2:12" x14ac:dyDescent="0.2">
      <c r="B181" s="8" t="s">
        <v>62</v>
      </c>
      <c r="C181" s="95" t="s">
        <v>551</v>
      </c>
      <c r="E181" s="11"/>
      <c r="K181" s="94"/>
      <c r="L181" s="117">
        <f t="shared" si="5"/>
        <v>0</v>
      </c>
    </row>
    <row r="182" spans="2:12" ht="9.9499999999999993" customHeight="1" x14ac:dyDescent="0.2">
      <c r="K182" s="94"/>
      <c r="L182" s="117">
        <f t="shared" si="5"/>
        <v>0</v>
      </c>
    </row>
    <row r="183" spans="2:12" x14ac:dyDescent="0.2">
      <c r="B183" s="2" t="s">
        <v>115</v>
      </c>
      <c r="E183" s="4"/>
      <c r="F183" s="2"/>
      <c r="K183" s="94"/>
      <c r="L183" s="117">
        <f t="shared" si="5"/>
        <v>0</v>
      </c>
    </row>
    <row r="184" spans="2:12" x14ac:dyDescent="0.2">
      <c r="B184" s="10"/>
      <c r="C184" s="10" t="s">
        <v>323</v>
      </c>
      <c r="E184" s="4"/>
      <c r="F184" s="2"/>
      <c r="K184" s="94"/>
      <c r="L184" s="117">
        <f t="shared" si="5"/>
        <v>0</v>
      </c>
    </row>
    <row r="185" spans="2:12" x14ac:dyDescent="0.2">
      <c r="B185" s="8" t="s">
        <v>62</v>
      </c>
      <c r="C185" s="8" t="s">
        <v>328</v>
      </c>
      <c r="E185" s="11"/>
      <c r="K185" s="94"/>
      <c r="L185" s="117">
        <f t="shared" si="5"/>
        <v>0</v>
      </c>
    </row>
    <row r="186" spans="2:12" x14ac:dyDescent="0.2">
      <c r="B186" s="8" t="s">
        <v>62</v>
      </c>
      <c r="C186" s="8" t="s">
        <v>329</v>
      </c>
      <c r="E186" s="11"/>
      <c r="K186" s="94"/>
      <c r="L186" s="117">
        <f t="shared" si="5"/>
        <v>0</v>
      </c>
    </row>
    <row r="187" spans="2:12" x14ac:dyDescent="0.2">
      <c r="B187" s="8" t="s">
        <v>62</v>
      </c>
      <c r="C187" s="8" t="s">
        <v>330</v>
      </c>
      <c r="E187" s="11"/>
      <c r="K187" s="94"/>
      <c r="L187" s="117">
        <f t="shared" si="5"/>
        <v>0</v>
      </c>
    </row>
    <row r="188" spans="2:12" x14ac:dyDescent="0.2">
      <c r="B188" s="8" t="s">
        <v>62</v>
      </c>
      <c r="C188" s="8" t="s">
        <v>331</v>
      </c>
      <c r="E188" s="11"/>
      <c r="K188" s="94"/>
      <c r="L188" s="117">
        <f t="shared" si="5"/>
        <v>0</v>
      </c>
    </row>
    <row r="189" spans="2:12" x14ac:dyDescent="0.2">
      <c r="B189" s="8" t="s">
        <v>62</v>
      </c>
      <c r="C189" s="8" t="s">
        <v>332</v>
      </c>
      <c r="E189" s="11"/>
      <c r="K189" s="94"/>
      <c r="L189" s="117">
        <f t="shared" si="5"/>
        <v>0</v>
      </c>
    </row>
    <row r="190" spans="2:12" x14ac:dyDescent="0.2">
      <c r="B190" s="8" t="s">
        <v>62</v>
      </c>
      <c r="C190" s="95" t="s">
        <v>856</v>
      </c>
      <c r="E190" s="11">
        <v>8500</v>
      </c>
      <c r="K190" s="94"/>
      <c r="L190" s="117">
        <f t="shared" si="5"/>
        <v>0</v>
      </c>
    </row>
    <row r="191" spans="2:12" x14ac:dyDescent="0.2">
      <c r="B191" s="8" t="s">
        <v>62</v>
      </c>
      <c r="C191" s="95" t="s">
        <v>552</v>
      </c>
      <c r="E191" s="11"/>
      <c r="K191" s="94"/>
      <c r="L191" s="117">
        <f t="shared" si="5"/>
        <v>0</v>
      </c>
    </row>
    <row r="192" spans="2:12" x14ac:dyDescent="0.2">
      <c r="B192" s="8" t="s">
        <v>62</v>
      </c>
      <c r="C192" s="95" t="s">
        <v>552</v>
      </c>
      <c r="E192" s="11"/>
      <c r="K192" s="94"/>
      <c r="L192" s="117">
        <f t="shared" si="5"/>
        <v>0</v>
      </c>
    </row>
    <row r="193" spans="2:12" x14ac:dyDescent="0.2">
      <c r="B193" s="8" t="s">
        <v>62</v>
      </c>
      <c r="C193" s="95" t="s">
        <v>552</v>
      </c>
      <c r="E193" s="11"/>
      <c r="K193" s="94"/>
      <c r="L193" s="117">
        <f t="shared" si="5"/>
        <v>0</v>
      </c>
    </row>
    <row r="194" spans="2:12" x14ac:dyDescent="0.2">
      <c r="B194" s="2"/>
      <c r="C194" s="2" t="s">
        <v>752</v>
      </c>
      <c r="E194" s="140">
        <f>SUM(E167:E193)</f>
        <v>11010</v>
      </c>
      <c r="J194" s="123"/>
      <c r="K194" s="94"/>
      <c r="L194" s="117">
        <f t="shared" si="5"/>
        <v>0</v>
      </c>
    </row>
    <row r="195" spans="2:12" ht="8.4499999999999993" customHeight="1" x14ac:dyDescent="0.2">
      <c r="B195" s="2"/>
      <c r="C195" s="2"/>
      <c r="J195" s="123"/>
      <c r="K195" s="94"/>
      <c r="L195" s="117">
        <f t="shared" si="5"/>
        <v>0</v>
      </c>
    </row>
    <row r="196" spans="2:12" ht="13.5" thickBot="1" x14ac:dyDescent="0.25">
      <c r="B196" s="2" t="s">
        <v>348</v>
      </c>
      <c r="D196" s="2"/>
      <c r="E196" s="125">
        <f>E164+E194</f>
        <v>75856</v>
      </c>
      <c r="F196" s="118"/>
      <c r="J196" s="118"/>
      <c r="K196" s="94"/>
      <c r="L196" s="117">
        <f t="shared" si="5"/>
        <v>0</v>
      </c>
    </row>
    <row r="197" spans="2:12" ht="8.1" customHeight="1" thickTop="1" x14ac:dyDescent="0.2">
      <c r="K197" s="94"/>
      <c r="L197" s="117">
        <f t="shared" si="5"/>
        <v>0</v>
      </c>
    </row>
    <row r="198" spans="2:12" x14ac:dyDescent="0.2">
      <c r="B198" s="2" t="s">
        <v>349</v>
      </c>
      <c r="K198" s="94"/>
      <c r="L198" s="117">
        <f t="shared" si="5"/>
        <v>0</v>
      </c>
    </row>
    <row r="199" spans="2:12" ht="13.5" thickBot="1" x14ac:dyDescent="0.25">
      <c r="B199" s="8" t="s">
        <v>65</v>
      </c>
      <c r="C199" s="8" t="s">
        <v>361</v>
      </c>
      <c r="E199" s="133">
        <f>E139+E157-E196</f>
        <v>250577</v>
      </c>
      <c r="K199" s="94"/>
      <c r="L199" s="117">
        <f t="shared" si="5"/>
        <v>0</v>
      </c>
    </row>
    <row r="200" spans="2:12" ht="9.9499999999999993" customHeight="1" thickTop="1" thickBot="1" x14ac:dyDescent="0.25">
      <c r="B200" s="8"/>
      <c r="C200" s="8"/>
      <c r="E200" s="123"/>
      <c r="K200" s="94"/>
      <c r="L200" s="117">
        <f t="shared" si="5"/>
        <v>0</v>
      </c>
    </row>
    <row r="201" spans="2:12" ht="13.5" thickBot="1" x14ac:dyDescent="0.25">
      <c r="B201" s="134" t="s">
        <v>336</v>
      </c>
      <c r="C201" s="135"/>
      <c r="D201" s="135"/>
      <c r="E201" s="136">
        <f>E199-E139</f>
        <v>54753</v>
      </c>
      <c r="K201" s="94"/>
      <c r="L201" s="117">
        <f t="shared" si="5"/>
        <v>0</v>
      </c>
    </row>
    <row r="202" spans="2:12" x14ac:dyDescent="0.2">
      <c r="B202" s="2"/>
      <c r="G202" s="4"/>
      <c r="K202" s="94"/>
      <c r="L202" s="117">
        <f t="shared" si="5"/>
        <v>0</v>
      </c>
    </row>
    <row r="203" spans="2:12" ht="15.75" x14ac:dyDescent="0.25">
      <c r="B203" s="15" t="s">
        <v>337</v>
      </c>
      <c r="K203" s="94"/>
      <c r="L203" s="117">
        <f t="shared" si="5"/>
        <v>0</v>
      </c>
    </row>
    <row r="204" spans="2:12" ht="15.75" x14ac:dyDescent="0.25">
      <c r="B204" s="15" t="s">
        <v>310</v>
      </c>
      <c r="E204" s="4"/>
      <c r="F204" s="4"/>
      <c r="G204" s="4"/>
      <c r="K204" s="94"/>
      <c r="L204" s="117">
        <f t="shared" si="5"/>
        <v>0</v>
      </c>
    </row>
    <row r="205" spans="2:12" x14ac:dyDescent="0.2">
      <c r="B205" s="8" t="s">
        <v>543</v>
      </c>
      <c r="C205" s="8" t="s">
        <v>651</v>
      </c>
      <c r="E205" s="158">
        <f>'Budget Plan Year 1'!I233</f>
        <v>0</v>
      </c>
      <c r="F205" s="123"/>
      <c r="G205" s="2"/>
      <c r="K205" s="94"/>
      <c r="L205" s="117">
        <f t="shared" ref="L205:L231" si="6">IF(LEFT(K205,5)="ERROR",1,0)</f>
        <v>0</v>
      </c>
    </row>
    <row r="206" spans="2:12" x14ac:dyDescent="0.2">
      <c r="B206" s="8" t="s">
        <v>544</v>
      </c>
      <c r="C206" s="8" t="s">
        <v>652</v>
      </c>
      <c r="E206" s="158">
        <f>'Budget Plan Year 1'!I234</f>
        <v>0</v>
      </c>
      <c r="F206" s="123"/>
      <c r="K206" s="94"/>
      <c r="L206" s="117">
        <f t="shared" si="6"/>
        <v>0</v>
      </c>
    </row>
    <row r="207" spans="2:12" ht="13.5" thickBot="1" x14ac:dyDescent="0.25">
      <c r="B207" s="2" t="s">
        <v>554</v>
      </c>
      <c r="C207" s="2"/>
      <c r="E207" s="120">
        <f>SUM(E205:E206)</f>
        <v>0</v>
      </c>
      <c r="F207" s="123"/>
      <c r="K207" s="94"/>
      <c r="L207" s="117">
        <f t="shared" si="6"/>
        <v>0</v>
      </c>
    </row>
    <row r="208" spans="2:12" ht="13.5" thickTop="1" x14ac:dyDescent="0.2">
      <c r="E208" s="123"/>
      <c r="F208" s="123"/>
      <c r="K208" s="94"/>
      <c r="L208" s="117">
        <f t="shared" si="6"/>
        <v>0</v>
      </c>
    </row>
    <row r="209" spans="2:12" ht="15.75" x14ac:dyDescent="0.25">
      <c r="B209" s="15" t="s">
        <v>339</v>
      </c>
      <c r="E209" s="123"/>
      <c r="F209" s="123"/>
      <c r="K209" s="94"/>
      <c r="L209" s="117">
        <f t="shared" si="6"/>
        <v>0</v>
      </c>
    </row>
    <row r="210" spans="2:12" x14ac:dyDescent="0.2">
      <c r="B210" s="8" t="s">
        <v>43</v>
      </c>
      <c r="C210" s="8" t="s">
        <v>340</v>
      </c>
      <c r="E210" s="11"/>
      <c r="F210" s="123"/>
      <c r="K210" s="94"/>
      <c r="L210" s="117">
        <f t="shared" si="6"/>
        <v>0</v>
      </c>
    </row>
    <row r="211" spans="2:12" x14ac:dyDescent="0.2">
      <c r="B211" s="8" t="s">
        <v>43</v>
      </c>
      <c r="C211" s="8" t="s">
        <v>342</v>
      </c>
      <c r="E211" s="11"/>
      <c r="F211" s="123"/>
      <c r="K211" s="94"/>
      <c r="L211" s="117">
        <f t="shared" si="6"/>
        <v>0</v>
      </c>
    </row>
    <row r="212" spans="2:12" x14ac:dyDescent="0.2">
      <c r="B212" s="2"/>
      <c r="C212" s="2" t="s">
        <v>59</v>
      </c>
      <c r="E212" s="121">
        <f>SUM(E210:E211)</f>
        <v>0</v>
      </c>
      <c r="F212" s="123"/>
      <c r="K212" s="94"/>
      <c r="L212" s="117">
        <f t="shared" si="6"/>
        <v>0</v>
      </c>
    </row>
    <row r="213" spans="2:12" x14ac:dyDescent="0.2">
      <c r="E213" s="123"/>
      <c r="F213" s="123"/>
      <c r="K213" s="94"/>
      <c r="L213" s="117">
        <f t="shared" si="6"/>
        <v>0</v>
      </c>
    </row>
    <row r="214" spans="2:12" x14ac:dyDescent="0.2">
      <c r="B214" s="8" t="s">
        <v>44</v>
      </c>
      <c r="C214" s="8" t="s">
        <v>341</v>
      </c>
      <c r="E214" s="11"/>
      <c r="F214" s="123"/>
      <c r="K214" s="94"/>
      <c r="L214" s="117">
        <f t="shared" si="6"/>
        <v>0</v>
      </c>
    </row>
    <row r="215" spans="2:12" x14ac:dyDescent="0.2">
      <c r="B215" s="8" t="s">
        <v>45</v>
      </c>
      <c r="C215" s="8" t="s">
        <v>343</v>
      </c>
      <c r="E215" s="207">
        <f>E124</f>
        <v>0</v>
      </c>
      <c r="F215" s="123"/>
      <c r="K215" s="94"/>
      <c r="L215" s="117">
        <f t="shared" si="6"/>
        <v>0</v>
      </c>
    </row>
    <row r="216" spans="2:12" x14ac:dyDescent="0.2">
      <c r="E216" s="123"/>
      <c r="F216" s="123"/>
      <c r="K216" s="94"/>
      <c r="L216" s="117">
        <f t="shared" si="6"/>
        <v>0</v>
      </c>
    </row>
    <row r="217" spans="2:12" ht="13.5" thickBot="1" x14ac:dyDescent="0.25">
      <c r="B217" s="2" t="s">
        <v>344</v>
      </c>
      <c r="D217" s="2"/>
      <c r="E217" s="125">
        <f>E212+E214+E215</f>
        <v>0</v>
      </c>
      <c r="F217" s="118"/>
      <c r="K217" s="94"/>
      <c r="L217" s="117">
        <f t="shared" si="6"/>
        <v>0</v>
      </c>
    </row>
    <row r="218" spans="2:12" ht="13.5" thickTop="1" x14ac:dyDescent="0.2">
      <c r="E218" s="123"/>
      <c r="F218" s="123"/>
      <c r="K218" s="94"/>
      <c r="L218" s="117">
        <f t="shared" si="6"/>
        <v>0</v>
      </c>
    </row>
    <row r="219" spans="2:12" ht="15.75" x14ac:dyDescent="0.25">
      <c r="B219" s="15" t="s">
        <v>345</v>
      </c>
      <c r="E219" s="4"/>
      <c r="F219" s="4"/>
      <c r="K219" s="94"/>
      <c r="L219" s="117">
        <f t="shared" si="6"/>
        <v>0</v>
      </c>
    </row>
    <row r="220" spans="2:12" x14ac:dyDescent="0.2">
      <c r="B220" s="8" t="s">
        <v>46</v>
      </c>
      <c r="C220" s="8" t="s">
        <v>47</v>
      </c>
      <c r="E220" s="11"/>
      <c r="K220" s="94"/>
      <c r="L220" s="117">
        <f t="shared" si="6"/>
        <v>0</v>
      </c>
    </row>
    <row r="221" spans="2:12" x14ac:dyDescent="0.2">
      <c r="B221" s="8" t="s">
        <v>48</v>
      </c>
      <c r="C221" s="8" t="s">
        <v>49</v>
      </c>
      <c r="E221" s="11"/>
      <c r="K221" s="94"/>
      <c r="L221" s="117">
        <f t="shared" si="6"/>
        <v>0</v>
      </c>
    </row>
    <row r="222" spans="2:12" x14ac:dyDescent="0.2">
      <c r="B222" s="8" t="s">
        <v>50</v>
      </c>
      <c r="C222" s="8" t="s">
        <v>346</v>
      </c>
      <c r="E222" s="11"/>
      <c r="K222" s="94"/>
      <c r="L222" s="117">
        <f t="shared" si="6"/>
        <v>0</v>
      </c>
    </row>
    <row r="223" spans="2:12" x14ac:dyDescent="0.2">
      <c r="B223" s="8" t="s">
        <v>51</v>
      </c>
      <c r="C223" s="8" t="s">
        <v>52</v>
      </c>
      <c r="E223" s="11"/>
      <c r="K223" s="94"/>
      <c r="L223" s="117">
        <f t="shared" si="6"/>
        <v>0</v>
      </c>
    </row>
    <row r="224" spans="2:12" ht="13.5" thickBot="1" x14ac:dyDescent="0.25">
      <c r="B224" s="2" t="s">
        <v>350</v>
      </c>
      <c r="D224" s="2"/>
      <c r="E224" s="125">
        <f>SUM(E220:E223)</f>
        <v>0</v>
      </c>
      <c r="F224" s="118"/>
      <c r="K224" s="94"/>
      <c r="L224" s="117">
        <f t="shared" si="6"/>
        <v>0</v>
      </c>
    </row>
    <row r="225" spans="2:12" ht="13.5" thickTop="1" x14ac:dyDescent="0.2">
      <c r="E225" s="123"/>
      <c r="F225" s="123"/>
      <c r="K225" s="94"/>
      <c r="L225" s="117">
        <f t="shared" si="6"/>
        <v>0</v>
      </c>
    </row>
    <row r="226" spans="2:12" x14ac:dyDescent="0.2">
      <c r="B226" s="2" t="s">
        <v>351</v>
      </c>
      <c r="K226" s="94"/>
      <c r="L226" s="117">
        <f t="shared" si="6"/>
        <v>0</v>
      </c>
    </row>
    <row r="227" spans="2:12" x14ac:dyDescent="0.2">
      <c r="B227" s="8" t="s">
        <v>55</v>
      </c>
      <c r="C227" s="8" t="s">
        <v>57</v>
      </c>
      <c r="E227" s="11"/>
      <c r="K227" s="94"/>
      <c r="L227" s="117">
        <f t="shared" si="6"/>
        <v>0</v>
      </c>
    </row>
    <row r="228" spans="2:12" x14ac:dyDescent="0.2">
      <c r="B228" s="8" t="s">
        <v>56</v>
      </c>
      <c r="C228" s="8" t="s">
        <v>338</v>
      </c>
      <c r="E228" s="132">
        <f>E229-E227</f>
        <v>0</v>
      </c>
      <c r="K228" s="94"/>
      <c r="L228" s="117">
        <f t="shared" si="6"/>
        <v>0</v>
      </c>
    </row>
    <row r="229" spans="2:12" ht="13.5" thickBot="1" x14ac:dyDescent="0.25">
      <c r="B229" s="2" t="s">
        <v>335</v>
      </c>
      <c r="E229" s="133">
        <f>E207+E217-E224</f>
        <v>0</v>
      </c>
      <c r="K229" s="94"/>
      <c r="L229" s="117">
        <f t="shared" si="6"/>
        <v>0</v>
      </c>
    </row>
    <row r="230" spans="2:12" ht="14.25" thickTop="1" thickBot="1" x14ac:dyDescent="0.25">
      <c r="B230" s="8"/>
      <c r="C230" s="8"/>
      <c r="E230" s="123"/>
      <c r="K230" s="94"/>
      <c r="L230" s="117">
        <f t="shared" si="6"/>
        <v>0</v>
      </c>
    </row>
    <row r="231" spans="2:12" ht="13.5" thickBot="1" x14ac:dyDescent="0.25">
      <c r="B231" s="134" t="s">
        <v>336</v>
      </c>
      <c r="C231" s="135"/>
      <c r="D231" s="135"/>
      <c r="E231" s="136">
        <f>E229-E207</f>
        <v>0</v>
      </c>
      <c r="F231" s="154"/>
      <c r="K231" s="94"/>
      <c r="L231" s="117">
        <f t="shared" si="6"/>
        <v>0</v>
      </c>
    </row>
    <row r="232" spans="2:12" x14ac:dyDescent="0.2">
      <c r="E232" s="123"/>
      <c r="F232" s="123"/>
      <c r="L232" s="137">
        <f>SUM(L8:L231)</f>
        <v>0</v>
      </c>
    </row>
    <row r="233" spans="2:12" x14ac:dyDescent="0.2">
      <c r="E233" s="123"/>
      <c r="F233" s="123"/>
    </row>
    <row r="234" spans="2:12" x14ac:dyDescent="0.2">
      <c r="E234" s="123"/>
      <c r="F234" s="123"/>
      <c r="G234" s="4"/>
    </row>
    <row r="236" spans="2:12" x14ac:dyDescent="0.2">
      <c r="G236" s="4"/>
    </row>
  </sheetData>
  <sheetProtection algorithmName="SHA-512" hashValue="O6vvix1wnHiBuWMuGt/lC22zpS0sCF1bgwFBOo1tpFflSsQTSK0pysUu4IVhITEbhUvnLdAxcF5ciJNoVgyqRg==" saltValue="1abGmY8xIk2Hks9m7VX0/w==" spinCount="100000" sheet="1" objects="1" scenarios="1"/>
  <mergeCells count="2">
    <mergeCell ref="B4:C4"/>
    <mergeCell ref="A5:A7"/>
  </mergeCells>
  <phoneticPr fontId="28" type="noConversion"/>
  <conditionalFormatting sqref="E14:E28">
    <cfRule type="expression" dxfId="15" priority="2">
      <formula>LEFT(P14,5)="ERROR"</formula>
    </cfRule>
  </conditionalFormatting>
  <conditionalFormatting sqref="E29:E30">
    <cfRule type="expression" dxfId="14" priority="20">
      <formula>LEFT(K29,5)="ERROR"</formula>
    </cfRule>
  </conditionalFormatting>
  <conditionalFormatting sqref="E46:E47">
    <cfRule type="expression" dxfId="13" priority="1">
      <formula>LEFT(P46,5)="ERROR"</formula>
    </cfRule>
  </conditionalFormatting>
  <conditionalFormatting sqref="G133 G204:G205">
    <cfRule type="containsText" dxfId="12" priority="9" operator="containsText" text="Deficit">
      <formula>NOT(ISERROR(SEARCH("Deficit",G133)))</formula>
    </cfRule>
  </conditionalFormatting>
  <conditionalFormatting sqref="G135">
    <cfRule type="containsText" dxfId="11" priority="8" operator="containsText" text="Deficit">
      <formula>NOT(ISERROR(SEARCH("Deficit",G135)))</formula>
    </cfRule>
  </conditionalFormatting>
  <conditionalFormatting sqref="G202">
    <cfRule type="containsText" dxfId="10" priority="7" operator="containsText" text="Deficit">
      <formula>NOT(ISERROR(SEARCH("Deficit",G202)))</formula>
    </cfRule>
  </conditionalFormatting>
  <conditionalFormatting sqref="G234">
    <cfRule type="containsText" dxfId="9" priority="6" operator="containsText" text="Deficit">
      <formula>NOT(ISERROR(SEARCH("Deficit",G234)))</formula>
    </cfRule>
  </conditionalFormatting>
  <conditionalFormatting sqref="G236">
    <cfRule type="containsText" dxfId="8" priority="5" operator="containsText" text="Deficit">
      <formula>NOT(ISERROR(SEARCH("Deficit",G236)))</formula>
    </cfRule>
  </conditionalFormatting>
  <pageMargins left="0.23622047244094491" right="0.15748031496062992" top="0.31496062992125984" bottom="0.19685039370078741" header="0.15748031496062992" footer="0.15748031496062992"/>
  <pageSetup paperSize="9" fitToHeight="0" orientation="portrait" horizontalDpi="4294967293" verticalDpi="4294967293" r:id="rId1"/>
  <rowBreaks count="1" manualBreakCount="1">
    <brk id="135" min="1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pageSetUpPr fitToPage="1"/>
  </sheetPr>
  <dimension ref="A1:L236"/>
  <sheetViews>
    <sheetView zoomScaleNormal="100" workbookViewId="0">
      <pane xSplit="3" ySplit="7" topLeftCell="E161" activePane="bottomRight" state="frozen"/>
      <selection activeCell="B1" sqref="B1"/>
      <selection pane="topRight" activeCell="B1" sqref="B1"/>
      <selection pane="bottomLeft" activeCell="B1" sqref="B1"/>
      <selection pane="bottomRight" activeCell="K26" sqref="K26"/>
    </sheetView>
  </sheetViews>
  <sheetFormatPr defaultColWidth="9.140625" defaultRowHeight="12.75" x14ac:dyDescent="0.2"/>
  <cols>
    <col min="1" max="1" width="4.5703125" style="110" customWidth="1"/>
    <col min="2" max="2" width="6.7109375" style="1" customWidth="1"/>
    <col min="3" max="3" width="61.42578125" style="1" bestFit="1" customWidth="1"/>
    <col min="4" max="4" width="5.140625" style="1" customWidth="1"/>
    <col min="5" max="5" width="12.28515625" style="1" bestFit="1" customWidth="1"/>
    <col min="6" max="6" width="1.5703125" style="1" customWidth="1"/>
    <col min="7" max="7" width="9.140625" style="1"/>
    <col min="8" max="8" width="9.140625" style="1" hidden="1" customWidth="1"/>
    <col min="9" max="9" width="11.140625" style="1" hidden="1" customWidth="1"/>
    <col min="10" max="10" width="12.140625" style="1" hidden="1" customWidth="1"/>
    <col min="11" max="11" width="58.42578125" style="1" customWidth="1"/>
    <col min="12" max="12" width="6.28515625" style="1" hidden="1" customWidth="1"/>
    <col min="13" max="16384" width="9.140625" style="1"/>
  </cols>
  <sheetData>
    <row r="1" spans="1:12" ht="3.75" customHeight="1" x14ac:dyDescent="0.2">
      <c r="G1" s="111"/>
    </row>
    <row r="2" spans="1:12" ht="16.5" customHeight="1" x14ac:dyDescent="0.25">
      <c r="B2" s="9" t="str">
        <f>setups!D25</f>
        <v>Forecast 2027-28 Financial Year</v>
      </c>
      <c r="D2" s="2" t="s">
        <v>469</v>
      </c>
      <c r="H2" s="2"/>
      <c r="I2" s="2"/>
      <c r="J2" s="2"/>
    </row>
    <row r="3" spans="1:12" ht="5.25" customHeight="1" x14ac:dyDescent="0.2"/>
    <row r="4" spans="1:12" ht="12" customHeight="1" x14ac:dyDescent="0.25">
      <c r="B4" s="256" t="str">
        <f>'School &amp; Other Info'!F4</f>
        <v>Nutfield Church CofE Primary School</v>
      </c>
      <c r="C4" s="256"/>
      <c r="D4" s="2" t="str">
        <f>'School &amp; Other Info'!F6</f>
        <v>ECFE8719</v>
      </c>
    </row>
    <row r="5" spans="1:12" ht="8.25" customHeight="1" x14ac:dyDescent="0.2">
      <c r="A5" s="278"/>
    </row>
    <row r="6" spans="1:12" ht="13.5" customHeight="1" x14ac:dyDescent="0.25">
      <c r="A6" s="278"/>
      <c r="B6" s="15" t="s">
        <v>649</v>
      </c>
    </row>
    <row r="7" spans="1:12" s="113" customFormat="1" ht="26.1" customHeight="1" x14ac:dyDescent="0.25">
      <c r="A7" s="278"/>
      <c r="B7" s="112"/>
      <c r="E7" s="114"/>
      <c r="F7" s="115"/>
      <c r="G7" s="114" t="s">
        <v>675</v>
      </c>
      <c r="K7" s="115" t="s">
        <v>533</v>
      </c>
      <c r="L7" s="115" t="s">
        <v>555</v>
      </c>
    </row>
    <row r="8" spans="1:12" x14ac:dyDescent="0.2">
      <c r="B8" s="8" t="s">
        <v>511</v>
      </c>
      <c r="C8" s="8" t="s">
        <v>653</v>
      </c>
      <c r="E8" s="158">
        <f>'Budget Plan Year 2'!E130</f>
        <v>10000</v>
      </c>
      <c r="I8" s="4"/>
      <c r="J8" s="4"/>
      <c r="L8" s="117">
        <f>IF(LEFT(K8,5)="ERROR",1,0)</f>
        <v>0</v>
      </c>
    </row>
    <row r="9" spans="1:12" x14ac:dyDescent="0.2">
      <c r="B9" s="8" t="s">
        <v>541</v>
      </c>
      <c r="C9" s="8" t="s">
        <v>654</v>
      </c>
      <c r="E9" s="158">
        <f>'Budget Plan Year 2'!E131</f>
        <v>92453</v>
      </c>
      <c r="I9" s="107"/>
      <c r="J9" s="107"/>
      <c r="L9" s="117">
        <f>IF(LEFT(K9,5)="ERROR",1,0)</f>
        <v>0</v>
      </c>
    </row>
    <row r="10" spans="1:12" x14ac:dyDescent="0.2">
      <c r="B10" s="8" t="s">
        <v>542</v>
      </c>
      <c r="C10" s="8" t="s">
        <v>642</v>
      </c>
      <c r="E10" s="12"/>
      <c r="F10" s="118"/>
      <c r="I10" s="123"/>
      <c r="J10" s="174"/>
      <c r="K10" s="1" t="str">
        <f>IF(E10&lt;&gt;0,"Subject to approval by LA - see Section P of Finance Manual","")</f>
        <v/>
      </c>
      <c r="L10" s="117">
        <f>IF(LEFT(K10,5)="ERROR",1,0)</f>
        <v>0</v>
      </c>
    </row>
    <row r="11" spans="1:12" ht="12.75" customHeight="1" thickBot="1" x14ac:dyDescent="0.25">
      <c r="B11" s="2" t="s">
        <v>549</v>
      </c>
      <c r="C11" s="119"/>
      <c r="E11" s="120">
        <f>SUM(E8:E10)</f>
        <v>102453</v>
      </c>
      <c r="L11" s="117">
        <f t="shared" ref="L11:L79" si="0">IF(LEFT(K11,5)="ERROR",1,0)</f>
        <v>0</v>
      </c>
    </row>
    <row r="12" spans="1:12" ht="15.95" customHeight="1" thickTop="1" x14ac:dyDescent="0.25">
      <c r="B12" s="15" t="s">
        <v>99</v>
      </c>
      <c r="L12" s="117">
        <f t="shared" si="0"/>
        <v>0</v>
      </c>
    </row>
    <row r="13" spans="1:12" x14ac:dyDescent="0.2">
      <c r="B13" s="8"/>
      <c r="C13" s="2" t="s">
        <v>513</v>
      </c>
      <c r="E13" s="4"/>
      <c r="F13" s="2"/>
      <c r="L13" s="117">
        <f t="shared" si="0"/>
        <v>0</v>
      </c>
    </row>
    <row r="14" spans="1:12" x14ac:dyDescent="0.2">
      <c r="B14" s="8" t="s">
        <v>0</v>
      </c>
      <c r="C14" s="8" t="s">
        <v>514</v>
      </c>
      <c r="E14" s="12">
        <v>1083017</v>
      </c>
      <c r="L14" s="117">
        <f t="shared" si="0"/>
        <v>0</v>
      </c>
    </row>
    <row r="15" spans="1:12" x14ac:dyDescent="0.2">
      <c r="B15" s="8" t="s">
        <v>0</v>
      </c>
      <c r="C15" s="8" t="s">
        <v>515</v>
      </c>
      <c r="E15" s="12">
        <v>-17871</v>
      </c>
      <c r="F15" s="8"/>
      <c r="K15" s="94" t="str">
        <f>IF(E15&gt;0,"ERROR - de-delegation &amp; central services levy MUST be negative","")</f>
        <v/>
      </c>
      <c r="L15" s="117">
        <f t="shared" si="0"/>
        <v>0</v>
      </c>
    </row>
    <row r="16" spans="1:12" x14ac:dyDescent="0.2">
      <c r="B16" s="8" t="s">
        <v>0</v>
      </c>
      <c r="C16" s="8" t="s">
        <v>689</v>
      </c>
      <c r="E16" s="12"/>
      <c r="K16" s="94"/>
      <c r="L16" s="117">
        <f t="shared" si="0"/>
        <v>0</v>
      </c>
    </row>
    <row r="17" spans="2:12" x14ac:dyDescent="0.2">
      <c r="B17" s="8" t="s">
        <v>0</v>
      </c>
      <c r="C17" s="8" t="s">
        <v>840</v>
      </c>
      <c r="E17" s="12">
        <v>20341</v>
      </c>
      <c r="K17" s="94"/>
      <c r="L17" s="117"/>
    </row>
    <row r="18" spans="2:12" x14ac:dyDescent="0.2">
      <c r="B18" s="8" t="s">
        <v>0</v>
      </c>
      <c r="C18" s="8" t="s">
        <v>778</v>
      </c>
      <c r="E18" s="12"/>
      <c r="K18" s="94"/>
      <c r="L18" s="117"/>
    </row>
    <row r="19" spans="2:12" x14ac:dyDescent="0.2">
      <c r="B19" s="8" t="s">
        <v>0</v>
      </c>
      <c r="C19" s="8" t="s">
        <v>80</v>
      </c>
      <c r="E19" s="12"/>
      <c r="K19" s="94"/>
      <c r="L19" s="117">
        <f t="shared" si="0"/>
        <v>0</v>
      </c>
    </row>
    <row r="20" spans="2:12" x14ac:dyDescent="0.2">
      <c r="B20" s="8" t="s">
        <v>0</v>
      </c>
      <c r="C20" s="8" t="s">
        <v>530</v>
      </c>
      <c r="E20" s="12"/>
      <c r="K20" s="94"/>
      <c r="L20" s="117">
        <f t="shared" si="0"/>
        <v>0</v>
      </c>
    </row>
    <row r="21" spans="2:12" x14ac:dyDescent="0.2">
      <c r="B21" s="8" t="s">
        <v>0</v>
      </c>
      <c r="C21" s="8" t="s">
        <v>81</v>
      </c>
      <c r="E21" s="12"/>
      <c r="K21" s="94"/>
      <c r="L21" s="117">
        <f t="shared" si="0"/>
        <v>0</v>
      </c>
    </row>
    <row r="22" spans="2:12" x14ac:dyDescent="0.2">
      <c r="B22" s="8" t="s">
        <v>0</v>
      </c>
      <c r="C22" s="1" t="s">
        <v>520</v>
      </c>
      <c r="E22" s="12"/>
      <c r="K22" s="94"/>
      <c r="L22" s="117">
        <f t="shared" si="0"/>
        <v>0</v>
      </c>
    </row>
    <row r="23" spans="2:12" x14ac:dyDescent="0.2">
      <c r="B23" s="8" t="s">
        <v>0</v>
      </c>
      <c r="C23" s="8" t="s">
        <v>516</v>
      </c>
      <c r="E23" s="12"/>
      <c r="K23" s="94"/>
      <c r="L23" s="117">
        <f t="shared" si="0"/>
        <v>0</v>
      </c>
    </row>
    <row r="24" spans="2:12" x14ac:dyDescent="0.2">
      <c r="B24" s="8" t="s">
        <v>0</v>
      </c>
      <c r="C24" s="8" t="s">
        <v>491</v>
      </c>
      <c r="E24" s="12"/>
      <c r="K24" s="94"/>
      <c r="L24" s="117">
        <f t="shared" si="0"/>
        <v>0</v>
      </c>
    </row>
    <row r="25" spans="2:12" x14ac:dyDescent="0.2">
      <c r="B25" s="8" t="s">
        <v>0</v>
      </c>
      <c r="C25" s="8" t="s">
        <v>517</v>
      </c>
      <c r="E25" s="12"/>
      <c r="K25" s="94" t="str">
        <f>IF(E25&gt;0,"ERROR - Prior Year adjustment can only be negative","")</f>
        <v/>
      </c>
      <c r="L25" s="117">
        <f t="shared" si="0"/>
        <v>0</v>
      </c>
    </row>
    <row r="26" spans="2:12" x14ac:dyDescent="0.2">
      <c r="B26" s="8" t="s">
        <v>0</v>
      </c>
      <c r="C26" s="8" t="s">
        <v>518</v>
      </c>
      <c r="E26" s="12"/>
      <c r="K26" s="94" t="str">
        <f>IF(E26&gt;0,"ERROR - Loan Repayment MUST be negative","")</f>
        <v/>
      </c>
      <c r="L26" s="117">
        <f t="shared" si="0"/>
        <v>0</v>
      </c>
    </row>
    <row r="27" spans="2:12" x14ac:dyDescent="0.2">
      <c r="B27" s="8" t="s">
        <v>0</v>
      </c>
      <c r="C27" s="8" t="s">
        <v>738</v>
      </c>
      <c r="E27" s="12"/>
      <c r="K27" s="94"/>
      <c r="L27" s="117"/>
    </row>
    <row r="28" spans="2:12" x14ac:dyDescent="0.2">
      <c r="B28" s="8" t="s">
        <v>0</v>
      </c>
      <c r="C28" s="95" t="s">
        <v>519</v>
      </c>
      <c r="E28" s="12"/>
      <c r="K28" s="94"/>
      <c r="L28" s="117"/>
    </row>
    <row r="29" spans="2:12" x14ac:dyDescent="0.2">
      <c r="B29" s="8" t="s">
        <v>0</v>
      </c>
      <c r="C29" s="95" t="s">
        <v>519</v>
      </c>
      <c r="E29" s="12"/>
      <c r="K29" s="94"/>
      <c r="L29" s="117"/>
    </row>
    <row r="30" spans="2:12" x14ac:dyDescent="0.2">
      <c r="B30" s="8" t="s">
        <v>0</v>
      </c>
      <c r="C30" s="95" t="s">
        <v>519</v>
      </c>
      <c r="E30" s="12"/>
      <c r="K30" s="94"/>
      <c r="L30" s="117">
        <f t="shared" si="0"/>
        <v>0</v>
      </c>
    </row>
    <row r="31" spans="2:12" x14ac:dyDescent="0.2">
      <c r="B31" s="2"/>
      <c r="C31" s="2" t="s">
        <v>741</v>
      </c>
      <c r="E31" s="121">
        <f>SUM(E14:E30)</f>
        <v>1085487</v>
      </c>
      <c r="K31" s="94"/>
      <c r="L31" s="117">
        <f t="shared" si="0"/>
        <v>0</v>
      </c>
    </row>
    <row r="32" spans="2:12" ht="6" customHeight="1" x14ac:dyDescent="0.2">
      <c r="K32" s="94"/>
      <c r="L32" s="117">
        <f t="shared" si="0"/>
        <v>0</v>
      </c>
    </row>
    <row r="33" spans="2:12" x14ac:dyDescent="0.2">
      <c r="B33" s="10"/>
      <c r="C33" s="2" t="s">
        <v>82</v>
      </c>
      <c r="K33" s="94"/>
      <c r="L33" s="117">
        <f t="shared" si="0"/>
        <v>0</v>
      </c>
    </row>
    <row r="34" spans="2:12" x14ac:dyDescent="0.2">
      <c r="B34" s="8" t="s">
        <v>1</v>
      </c>
      <c r="C34" s="8" t="s">
        <v>521</v>
      </c>
      <c r="E34" s="11"/>
      <c r="K34" s="94"/>
      <c r="L34" s="117">
        <f t="shared" si="0"/>
        <v>0</v>
      </c>
    </row>
    <row r="35" spans="2:12" x14ac:dyDescent="0.2">
      <c r="B35" s="8" t="s">
        <v>1</v>
      </c>
      <c r="C35" s="95" t="s">
        <v>522</v>
      </c>
      <c r="E35" s="11"/>
      <c r="K35" s="94"/>
      <c r="L35" s="117">
        <f t="shared" si="0"/>
        <v>0</v>
      </c>
    </row>
    <row r="36" spans="2:12" x14ac:dyDescent="0.2">
      <c r="B36" s="2"/>
      <c r="C36" s="2" t="s">
        <v>742</v>
      </c>
      <c r="E36" s="121">
        <f>SUM(E34:E35)</f>
        <v>0</v>
      </c>
      <c r="K36" s="94"/>
      <c r="L36" s="117">
        <f t="shared" si="0"/>
        <v>0</v>
      </c>
    </row>
    <row r="37" spans="2:12" ht="6" customHeight="1" x14ac:dyDescent="0.2">
      <c r="K37" s="94"/>
      <c r="L37" s="117">
        <f t="shared" si="0"/>
        <v>0</v>
      </c>
    </row>
    <row r="38" spans="2:12" x14ac:dyDescent="0.2">
      <c r="B38" s="10"/>
      <c r="C38" s="2" t="s">
        <v>83</v>
      </c>
      <c r="K38" s="94"/>
      <c r="L38" s="117">
        <f t="shared" si="0"/>
        <v>0</v>
      </c>
    </row>
    <row r="39" spans="2:12" x14ac:dyDescent="0.2">
      <c r="B39" s="8" t="s">
        <v>2</v>
      </c>
      <c r="C39" s="8" t="s">
        <v>525</v>
      </c>
      <c r="E39" s="11"/>
      <c r="K39" s="94"/>
      <c r="L39" s="117">
        <f t="shared" si="0"/>
        <v>0</v>
      </c>
    </row>
    <row r="40" spans="2:12" x14ac:dyDescent="0.2">
      <c r="B40" s="8" t="s">
        <v>2</v>
      </c>
      <c r="C40" s="8" t="s">
        <v>524</v>
      </c>
      <c r="E40" s="11">
        <v>3228</v>
      </c>
      <c r="K40" s="94"/>
      <c r="L40" s="117">
        <f t="shared" si="0"/>
        <v>0</v>
      </c>
    </row>
    <row r="41" spans="2:12" x14ac:dyDescent="0.2">
      <c r="B41" s="8" t="s">
        <v>2</v>
      </c>
      <c r="C41" s="95" t="s">
        <v>523</v>
      </c>
      <c r="E41" s="11"/>
      <c r="I41" s="4"/>
      <c r="J41" s="4"/>
      <c r="K41" s="94"/>
      <c r="L41" s="117">
        <f t="shared" si="0"/>
        <v>0</v>
      </c>
    </row>
    <row r="42" spans="2:12" x14ac:dyDescent="0.2">
      <c r="B42" s="8" t="s">
        <v>2</v>
      </c>
      <c r="C42" s="8" t="s">
        <v>87</v>
      </c>
      <c r="E42" s="11"/>
      <c r="I42" s="107"/>
      <c r="J42" s="107"/>
      <c r="K42" s="94"/>
      <c r="L42" s="117">
        <f t="shared" si="0"/>
        <v>0</v>
      </c>
    </row>
    <row r="43" spans="2:12" x14ac:dyDescent="0.2">
      <c r="B43" s="2"/>
      <c r="C43" s="2" t="s">
        <v>743</v>
      </c>
      <c r="E43" s="121">
        <f>SUM(E39:E42)</f>
        <v>3228</v>
      </c>
      <c r="I43" s="123"/>
      <c r="J43" s="174"/>
      <c r="K43" s="94"/>
      <c r="L43" s="117">
        <f t="shared" si="0"/>
        <v>0</v>
      </c>
    </row>
    <row r="44" spans="2:12" ht="6" customHeight="1" x14ac:dyDescent="0.2">
      <c r="K44" s="94"/>
      <c r="L44" s="117">
        <f t="shared" si="0"/>
        <v>0</v>
      </c>
    </row>
    <row r="45" spans="2:12" ht="12" customHeight="1" x14ac:dyDescent="0.2">
      <c r="C45" s="2" t="s">
        <v>566</v>
      </c>
      <c r="K45" s="94"/>
      <c r="L45" s="117"/>
    </row>
    <row r="46" spans="2:12" ht="12" customHeight="1" x14ac:dyDescent="0.2">
      <c r="B46" s="8" t="s">
        <v>565</v>
      </c>
      <c r="C46" s="8" t="s">
        <v>793</v>
      </c>
      <c r="E46" s="12"/>
      <c r="K46" s="94"/>
      <c r="L46" s="117"/>
    </row>
    <row r="47" spans="2:12" ht="12" customHeight="1" x14ac:dyDescent="0.2">
      <c r="B47" s="8" t="s">
        <v>565</v>
      </c>
      <c r="C47" s="8" t="s">
        <v>795</v>
      </c>
      <c r="E47" s="12"/>
      <c r="K47" s="94"/>
      <c r="L47" s="117"/>
    </row>
    <row r="48" spans="2:12" ht="12" customHeight="1" x14ac:dyDescent="0.2">
      <c r="B48" s="2"/>
      <c r="C48" s="2" t="s">
        <v>794</v>
      </c>
      <c r="E48" s="121">
        <f>SUM(E46:E47)</f>
        <v>0</v>
      </c>
      <c r="K48" s="94"/>
      <c r="L48" s="117"/>
    </row>
    <row r="49" spans="2:12" ht="6" customHeight="1" x14ac:dyDescent="0.2">
      <c r="K49" s="94"/>
      <c r="L49" s="117"/>
    </row>
    <row r="50" spans="2:12" x14ac:dyDescent="0.2">
      <c r="B50" s="10"/>
      <c r="C50" s="2" t="s">
        <v>84</v>
      </c>
      <c r="K50" s="94"/>
      <c r="L50" s="117">
        <f t="shared" si="0"/>
        <v>0</v>
      </c>
    </row>
    <row r="51" spans="2:12" x14ac:dyDescent="0.2">
      <c r="B51" s="8" t="s">
        <v>70</v>
      </c>
      <c r="C51" s="8" t="s">
        <v>526</v>
      </c>
      <c r="E51" s="11">
        <v>26640</v>
      </c>
      <c r="I51" s="4"/>
      <c r="J51" s="4"/>
      <c r="K51" s="94"/>
      <c r="L51" s="117">
        <f t="shared" si="0"/>
        <v>0</v>
      </c>
    </row>
    <row r="52" spans="2:12" x14ac:dyDescent="0.2">
      <c r="B52" s="8" t="s">
        <v>70</v>
      </c>
      <c r="C52" s="8" t="s">
        <v>531</v>
      </c>
      <c r="E52" s="11">
        <v>5140</v>
      </c>
      <c r="I52" s="4"/>
      <c r="J52" s="4"/>
      <c r="K52" s="94"/>
      <c r="L52" s="117">
        <f t="shared" si="0"/>
        <v>0</v>
      </c>
    </row>
    <row r="53" spans="2:12" x14ac:dyDescent="0.2">
      <c r="B53" s="8" t="s">
        <v>70</v>
      </c>
      <c r="C53" s="8" t="s">
        <v>527</v>
      </c>
      <c r="E53" s="11"/>
      <c r="I53" s="4"/>
      <c r="J53" s="4"/>
      <c r="K53" s="94"/>
      <c r="L53" s="117">
        <f t="shared" si="0"/>
        <v>0</v>
      </c>
    </row>
    <row r="54" spans="2:12" x14ac:dyDescent="0.2">
      <c r="B54" s="8" t="s">
        <v>70</v>
      </c>
      <c r="C54" s="8" t="s">
        <v>528</v>
      </c>
      <c r="E54" s="11"/>
      <c r="I54" s="4"/>
      <c r="J54" s="4"/>
      <c r="K54" s="94"/>
      <c r="L54" s="117">
        <f t="shared" si="0"/>
        <v>0</v>
      </c>
    </row>
    <row r="55" spans="2:12" x14ac:dyDescent="0.2">
      <c r="B55" s="8" t="s">
        <v>70</v>
      </c>
      <c r="C55" s="8" t="s">
        <v>529</v>
      </c>
      <c r="E55" s="11"/>
      <c r="I55" s="107"/>
      <c r="J55" s="107"/>
      <c r="K55" s="94"/>
      <c r="L55" s="117">
        <f t="shared" si="0"/>
        <v>0</v>
      </c>
    </row>
    <row r="56" spans="2:12" x14ac:dyDescent="0.2">
      <c r="B56" s="2"/>
      <c r="C56" s="2" t="s">
        <v>744</v>
      </c>
      <c r="E56" s="121">
        <f>SUM(E51:E55)</f>
        <v>31780</v>
      </c>
      <c r="I56" s="123"/>
      <c r="J56" s="174"/>
      <c r="K56" s="94"/>
      <c r="L56" s="117">
        <f t="shared" si="0"/>
        <v>0</v>
      </c>
    </row>
    <row r="57" spans="2:12" ht="6" customHeight="1" x14ac:dyDescent="0.2">
      <c r="K57" s="94"/>
      <c r="L57" s="117">
        <f t="shared" si="0"/>
        <v>0</v>
      </c>
    </row>
    <row r="58" spans="2:12" x14ac:dyDescent="0.2">
      <c r="B58" s="10"/>
      <c r="C58" s="2" t="s">
        <v>88</v>
      </c>
      <c r="K58" s="94"/>
      <c r="L58" s="117">
        <f t="shared" si="0"/>
        <v>0</v>
      </c>
    </row>
    <row r="59" spans="2:12" x14ac:dyDescent="0.2">
      <c r="B59" s="8" t="s">
        <v>3</v>
      </c>
      <c r="C59" s="8" t="s">
        <v>735</v>
      </c>
      <c r="E59" s="11"/>
      <c r="I59" s="4"/>
      <c r="J59" s="4"/>
      <c r="K59" s="94"/>
      <c r="L59" s="117">
        <f t="shared" si="0"/>
        <v>0</v>
      </c>
    </row>
    <row r="60" spans="2:12" x14ac:dyDescent="0.2">
      <c r="B60" s="8" t="s">
        <v>3</v>
      </c>
      <c r="C60" s="8" t="s">
        <v>89</v>
      </c>
      <c r="E60" s="11"/>
      <c r="I60" s="107"/>
      <c r="J60" s="107"/>
      <c r="K60" s="94"/>
      <c r="L60" s="117">
        <f t="shared" si="0"/>
        <v>0</v>
      </c>
    </row>
    <row r="61" spans="2:12" x14ac:dyDescent="0.2">
      <c r="B61" s="2"/>
      <c r="C61" s="2" t="s">
        <v>745</v>
      </c>
      <c r="E61" s="121">
        <f>SUM(E59:E60)</f>
        <v>0</v>
      </c>
      <c r="J61" s="123"/>
      <c r="K61" s="94"/>
      <c r="L61" s="117">
        <f t="shared" si="0"/>
        <v>0</v>
      </c>
    </row>
    <row r="62" spans="2:12" ht="6" customHeight="1" x14ac:dyDescent="0.2">
      <c r="J62" s="123"/>
      <c r="K62" s="94"/>
      <c r="L62" s="117">
        <f t="shared" si="0"/>
        <v>0</v>
      </c>
    </row>
    <row r="63" spans="2:12" x14ac:dyDescent="0.2">
      <c r="B63" s="8" t="s">
        <v>4</v>
      </c>
      <c r="C63" s="2" t="s">
        <v>90</v>
      </c>
      <c r="E63" s="11"/>
      <c r="J63" s="123"/>
      <c r="K63" s="94"/>
      <c r="L63" s="117">
        <f t="shared" si="0"/>
        <v>0</v>
      </c>
    </row>
    <row r="64" spans="2:12" ht="15.75" customHeight="1" x14ac:dyDescent="0.2">
      <c r="C64" s="2" t="s">
        <v>734</v>
      </c>
      <c r="J64" s="123"/>
      <c r="K64" s="94"/>
      <c r="L64" s="117">
        <f t="shared" si="0"/>
        <v>0</v>
      </c>
    </row>
    <row r="65" spans="2:12" x14ac:dyDescent="0.2">
      <c r="B65" s="8" t="s">
        <v>535</v>
      </c>
      <c r="C65" s="8" t="s">
        <v>536</v>
      </c>
      <c r="E65" s="11"/>
      <c r="J65" s="123"/>
      <c r="K65" s="94"/>
      <c r="L65" s="117">
        <f t="shared" si="0"/>
        <v>0</v>
      </c>
    </row>
    <row r="66" spans="2:12" x14ac:dyDescent="0.2">
      <c r="B66" s="8" t="s">
        <v>534</v>
      </c>
      <c r="C66" s="8" t="s">
        <v>537</v>
      </c>
      <c r="E66" s="11"/>
      <c r="J66" s="123"/>
      <c r="K66" s="94"/>
      <c r="L66" s="117">
        <f t="shared" si="0"/>
        <v>0</v>
      </c>
    </row>
    <row r="67" spans="2:12" x14ac:dyDescent="0.2">
      <c r="B67" s="8" t="s">
        <v>534</v>
      </c>
      <c r="C67" s="95" t="s">
        <v>855</v>
      </c>
      <c r="E67" s="11">
        <v>2840</v>
      </c>
      <c r="J67" s="123"/>
      <c r="K67" s="94"/>
      <c r="L67" s="117">
        <f t="shared" si="0"/>
        <v>0</v>
      </c>
    </row>
    <row r="68" spans="2:12" x14ac:dyDescent="0.2">
      <c r="B68" s="8" t="s">
        <v>534</v>
      </c>
      <c r="C68" s="95" t="s">
        <v>538</v>
      </c>
      <c r="E68" s="11"/>
      <c r="J68" s="123"/>
      <c r="K68" s="94"/>
      <c r="L68" s="117">
        <f t="shared" si="0"/>
        <v>0</v>
      </c>
    </row>
    <row r="69" spans="2:12" x14ac:dyDescent="0.2">
      <c r="B69" s="2"/>
      <c r="C69" s="2" t="s">
        <v>747</v>
      </c>
      <c r="E69" s="121">
        <f>SUM(E65:E68)</f>
        <v>2840</v>
      </c>
      <c r="J69" s="123"/>
      <c r="K69" s="94"/>
      <c r="L69" s="117">
        <f t="shared" si="0"/>
        <v>0</v>
      </c>
    </row>
    <row r="70" spans="2:12" ht="6" customHeight="1" x14ac:dyDescent="0.2">
      <c r="J70" s="123"/>
      <c r="K70" s="94"/>
      <c r="L70" s="117">
        <f t="shared" si="0"/>
        <v>0</v>
      </c>
    </row>
    <row r="71" spans="2:12" x14ac:dyDescent="0.2">
      <c r="B71" s="8" t="s">
        <v>5</v>
      </c>
      <c r="C71" s="2" t="s">
        <v>91</v>
      </c>
      <c r="E71" s="11"/>
      <c r="J71" s="123"/>
      <c r="K71" s="94"/>
      <c r="L71" s="117">
        <f t="shared" si="0"/>
        <v>0</v>
      </c>
    </row>
    <row r="72" spans="2:12" x14ac:dyDescent="0.2">
      <c r="B72" s="8" t="s">
        <v>6</v>
      </c>
      <c r="C72" s="2" t="s">
        <v>98</v>
      </c>
      <c r="E72" s="11"/>
      <c r="J72" s="123"/>
      <c r="K72" s="94"/>
      <c r="L72" s="117">
        <f t="shared" si="0"/>
        <v>0</v>
      </c>
    </row>
    <row r="73" spans="2:12" x14ac:dyDescent="0.2">
      <c r="B73" s="8" t="s">
        <v>7</v>
      </c>
      <c r="C73" s="2" t="s">
        <v>10</v>
      </c>
      <c r="E73" s="11"/>
      <c r="J73" s="123"/>
      <c r="K73" s="94"/>
      <c r="L73" s="117">
        <f t="shared" si="0"/>
        <v>0</v>
      </c>
    </row>
    <row r="74" spans="2:12" x14ac:dyDescent="0.2">
      <c r="B74" s="8" t="s">
        <v>8</v>
      </c>
      <c r="C74" s="2" t="s">
        <v>92</v>
      </c>
      <c r="E74" s="11">
        <v>3800</v>
      </c>
      <c r="J74" s="123"/>
      <c r="K74" s="94"/>
      <c r="L74" s="117">
        <f t="shared" si="0"/>
        <v>0</v>
      </c>
    </row>
    <row r="75" spans="2:12" x14ac:dyDescent="0.2">
      <c r="B75" s="8" t="s">
        <v>9</v>
      </c>
      <c r="C75" s="2" t="s">
        <v>93</v>
      </c>
      <c r="E75" s="11">
        <v>3000</v>
      </c>
      <c r="J75" s="123"/>
      <c r="K75" s="94"/>
      <c r="L75" s="117">
        <f t="shared" si="0"/>
        <v>0</v>
      </c>
    </row>
    <row r="76" spans="2:12" x14ac:dyDescent="0.2">
      <c r="B76" s="8" t="s">
        <v>63</v>
      </c>
      <c r="C76" s="2" t="s">
        <v>392</v>
      </c>
      <c r="E76" s="11"/>
      <c r="K76" s="94"/>
      <c r="L76" s="117">
        <f t="shared" si="0"/>
        <v>0</v>
      </c>
    </row>
    <row r="77" spans="2:12" ht="6" customHeight="1" x14ac:dyDescent="0.2">
      <c r="B77" s="2"/>
      <c r="K77" s="94"/>
      <c r="L77" s="117">
        <f t="shared" si="0"/>
        <v>0</v>
      </c>
    </row>
    <row r="78" spans="2:12" x14ac:dyDescent="0.2">
      <c r="B78" s="10"/>
      <c r="C78" s="2" t="s">
        <v>94</v>
      </c>
      <c r="K78" s="94"/>
      <c r="L78" s="117">
        <f t="shared" si="0"/>
        <v>0</v>
      </c>
    </row>
    <row r="79" spans="2:12" x14ac:dyDescent="0.2">
      <c r="B79" s="8" t="s">
        <v>72</v>
      </c>
      <c r="C79" s="8" t="s">
        <v>95</v>
      </c>
      <c r="E79" s="11">
        <v>18008</v>
      </c>
      <c r="K79" s="94"/>
      <c r="L79" s="117">
        <f t="shared" si="0"/>
        <v>0</v>
      </c>
    </row>
    <row r="80" spans="2:12" x14ac:dyDescent="0.2">
      <c r="B80" s="8" t="s">
        <v>72</v>
      </c>
      <c r="C80" s="8" t="s">
        <v>96</v>
      </c>
      <c r="E80" s="11">
        <v>49993</v>
      </c>
      <c r="K80" s="94"/>
      <c r="L80" s="117">
        <f t="shared" ref="L80:L144" si="1">IF(LEFT(K80,5)="ERROR",1,0)</f>
        <v>0</v>
      </c>
    </row>
    <row r="81" spans="2:12" x14ac:dyDescent="0.2">
      <c r="B81" s="8" t="s">
        <v>72</v>
      </c>
      <c r="C81" s="95" t="s">
        <v>532</v>
      </c>
      <c r="E81" s="11"/>
      <c r="K81" s="94"/>
      <c r="L81" s="117"/>
    </row>
    <row r="82" spans="2:12" x14ac:dyDescent="0.2">
      <c r="B82" s="8" t="s">
        <v>72</v>
      </c>
      <c r="C82" s="95" t="s">
        <v>532</v>
      </c>
      <c r="E82" s="11"/>
      <c r="K82" s="94"/>
      <c r="L82" s="117"/>
    </row>
    <row r="83" spans="2:12" x14ac:dyDescent="0.2">
      <c r="B83" s="8" t="s">
        <v>72</v>
      </c>
      <c r="C83" s="95" t="s">
        <v>532</v>
      </c>
      <c r="E83" s="11"/>
      <c r="K83" s="94"/>
      <c r="L83" s="117">
        <f t="shared" si="1"/>
        <v>0</v>
      </c>
    </row>
    <row r="84" spans="2:12" x14ac:dyDescent="0.2">
      <c r="B84" s="2"/>
      <c r="C84" s="2" t="s">
        <v>748</v>
      </c>
      <c r="E84" s="121">
        <f>SUM(E79:E83)</f>
        <v>68001</v>
      </c>
      <c r="J84" s="123"/>
      <c r="K84" s="94"/>
      <c r="L84" s="117">
        <f t="shared" si="1"/>
        <v>0</v>
      </c>
    </row>
    <row r="85" spans="2:12" ht="6" customHeight="1" x14ac:dyDescent="0.2">
      <c r="K85" s="94"/>
      <c r="L85" s="117">
        <f t="shared" si="1"/>
        <v>0</v>
      </c>
    </row>
    <row r="86" spans="2:12" ht="13.5" thickBot="1" x14ac:dyDescent="0.25">
      <c r="B86" s="2" t="s">
        <v>97</v>
      </c>
      <c r="D86" s="2"/>
      <c r="E86" s="125">
        <f>E31+E36+E43+E48+E56+E61+E63+E69+E84+SUM(E71:E76)</f>
        <v>1198136</v>
      </c>
      <c r="F86" s="118"/>
      <c r="J86" s="118"/>
      <c r="K86" s="94"/>
      <c r="L86" s="117">
        <f t="shared" si="1"/>
        <v>0</v>
      </c>
    </row>
    <row r="87" spans="2:12" ht="6" customHeight="1" thickTop="1" x14ac:dyDescent="0.2">
      <c r="B87" s="119"/>
      <c r="C87" s="126"/>
      <c r="K87" s="94"/>
      <c r="L87" s="117">
        <f t="shared" si="1"/>
        <v>0</v>
      </c>
    </row>
    <row r="88" spans="2:12" ht="15.75" x14ac:dyDescent="0.25">
      <c r="B88" s="15" t="s">
        <v>106</v>
      </c>
      <c r="K88" s="94"/>
      <c r="L88" s="117">
        <f t="shared" si="1"/>
        <v>0</v>
      </c>
    </row>
    <row r="89" spans="2:12" x14ac:dyDescent="0.2">
      <c r="B89" s="2" t="s">
        <v>41</v>
      </c>
      <c r="E89" s="4"/>
      <c r="F89" s="2"/>
      <c r="K89" s="94"/>
      <c r="L89" s="117">
        <f t="shared" si="1"/>
        <v>0</v>
      </c>
    </row>
    <row r="90" spans="2:12" x14ac:dyDescent="0.2">
      <c r="B90" s="8" t="s">
        <v>11</v>
      </c>
      <c r="C90" s="8" t="s">
        <v>100</v>
      </c>
      <c r="E90" s="11">
        <v>602198</v>
      </c>
      <c r="G90" s="127">
        <f t="shared" ref="G90:G100" si="2">IFERROR(E90/SUM($E$31,$E$36,$E$39:$E$41,$E$51:$E$54,$E$59,$E$63,$E$67,$E$84),"")</f>
        <v>0.50548124122833527</v>
      </c>
      <c r="H90" s="127"/>
      <c r="I90" s="175"/>
      <c r="J90" s="123"/>
      <c r="K90" s="94"/>
      <c r="L90" s="117">
        <f t="shared" si="1"/>
        <v>0</v>
      </c>
    </row>
    <row r="91" spans="2:12" x14ac:dyDescent="0.2">
      <c r="B91" s="8" t="s">
        <v>12</v>
      </c>
      <c r="C91" s="8" t="s">
        <v>492</v>
      </c>
      <c r="E91" s="11">
        <v>0</v>
      </c>
      <c r="G91" s="127">
        <f t="shared" si="2"/>
        <v>0</v>
      </c>
      <c r="H91" s="127"/>
      <c r="I91" s="175"/>
      <c r="J91" s="123"/>
      <c r="K91" s="94"/>
      <c r="L91" s="117">
        <f t="shared" si="1"/>
        <v>0</v>
      </c>
    </row>
    <row r="92" spans="2:12" x14ac:dyDescent="0.2">
      <c r="B92" s="8" t="s">
        <v>13</v>
      </c>
      <c r="C92" s="8" t="s">
        <v>493</v>
      </c>
      <c r="E92" s="11">
        <v>160724</v>
      </c>
      <c r="G92" s="127">
        <f t="shared" si="2"/>
        <v>0.13491072208008487</v>
      </c>
      <c r="H92" s="127"/>
      <c r="I92" s="175"/>
      <c r="J92" s="123"/>
      <c r="K92" s="94"/>
      <c r="L92" s="117">
        <f t="shared" si="1"/>
        <v>0</v>
      </c>
    </row>
    <row r="93" spans="2:12" x14ac:dyDescent="0.2">
      <c r="B93" s="8" t="s">
        <v>14</v>
      </c>
      <c r="C93" s="8" t="s">
        <v>494</v>
      </c>
      <c r="E93" s="11">
        <v>40024</v>
      </c>
      <c r="G93" s="127">
        <f t="shared" si="2"/>
        <v>3.3595895700289424E-2</v>
      </c>
      <c r="H93" s="127"/>
      <c r="I93" s="175"/>
      <c r="J93" s="123"/>
      <c r="K93" s="94"/>
      <c r="L93" s="117">
        <f t="shared" si="1"/>
        <v>0</v>
      </c>
    </row>
    <row r="94" spans="2:12" x14ac:dyDescent="0.2">
      <c r="B94" s="8" t="s">
        <v>15</v>
      </c>
      <c r="C94" s="8" t="s">
        <v>495</v>
      </c>
      <c r="E94" s="11">
        <v>94246</v>
      </c>
      <c r="G94" s="127">
        <f t="shared" si="2"/>
        <v>7.9109503951865806E-2</v>
      </c>
      <c r="H94" s="127"/>
      <c r="I94" s="175"/>
      <c r="J94" s="123"/>
      <c r="K94" s="94"/>
      <c r="L94" s="117">
        <f t="shared" si="1"/>
        <v>0</v>
      </c>
    </row>
    <row r="95" spans="2:12" x14ac:dyDescent="0.2">
      <c r="B95" s="8" t="s">
        <v>16</v>
      </c>
      <c r="C95" s="8" t="s">
        <v>496</v>
      </c>
      <c r="E95" s="11">
        <v>0</v>
      </c>
      <c r="G95" s="127">
        <f t="shared" si="2"/>
        <v>0</v>
      </c>
      <c r="H95" s="127"/>
      <c r="I95" s="175"/>
      <c r="J95" s="123"/>
      <c r="K95" s="94"/>
      <c r="L95" s="117">
        <f t="shared" si="1"/>
        <v>0</v>
      </c>
    </row>
    <row r="96" spans="2:12" x14ac:dyDescent="0.2">
      <c r="B96" s="8" t="s">
        <v>17</v>
      </c>
      <c r="C96" s="8" t="s">
        <v>497</v>
      </c>
      <c r="E96" s="11">
        <v>30258</v>
      </c>
      <c r="G96" s="127">
        <f t="shared" si="2"/>
        <v>2.5398376276717902E-2</v>
      </c>
      <c r="H96" s="127"/>
      <c r="I96" s="175"/>
      <c r="J96" s="123"/>
      <c r="K96" s="94"/>
      <c r="L96" s="117">
        <f t="shared" si="1"/>
        <v>0</v>
      </c>
    </row>
    <row r="97" spans="2:12" x14ac:dyDescent="0.2">
      <c r="B97" s="8" t="s">
        <v>18</v>
      </c>
      <c r="C97" s="8" t="s">
        <v>539</v>
      </c>
      <c r="E97" s="11">
        <v>510</v>
      </c>
      <c r="G97" s="127">
        <f t="shared" si="2"/>
        <v>4.280908156892766E-4</v>
      </c>
      <c r="H97" s="127"/>
      <c r="I97" s="175"/>
      <c r="J97" s="123"/>
      <c r="K97" s="94"/>
      <c r="L97" s="117">
        <f t="shared" si="1"/>
        <v>0</v>
      </c>
    </row>
    <row r="98" spans="2:12" x14ac:dyDescent="0.2">
      <c r="B98" s="8" t="s">
        <v>19</v>
      </c>
      <c r="C98" s="8" t="s">
        <v>103</v>
      </c>
      <c r="E98" s="11">
        <v>4080</v>
      </c>
      <c r="G98" s="127">
        <f t="shared" si="2"/>
        <v>3.4247265255142128E-3</v>
      </c>
      <c r="H98" s="127"/>
      <c r="I98" s="175"/>
      <c r="J98" s="123"/>
      <c r="K98" s="94"/>
      <c r="L98" s="117">
        <f t="shared" si="1"/>
        <v>0</v>
      </c>
    </row>
    <row r="99" spans="2:12" x14ac:dyDescent="0.2">
      <c r="B99" s="8" t="s">
        <v>20</v>
      </c>
      <c r="C99" s="8" t="s">
        <v>104</v>
      </c>
      <c r="E99" s="11">
        <v>7450</v>
      </c>
      <c r="G99" s="127">
        <f t="shared" si="2"/>
        <v>6.2534834840884523E-3</v>
      </c>
      <c r="H99" s="127"/>
      <c r="I99" s="175"/>
      <c r="J99" s="123"/>
      <c r="K99" s="94"/>
      <c r="L99" s="117">
        <f t="shared" si="1"/>
        <v>0</v>
      </c>
    </row>
    <row r="100" spans="2:12" x14ac:dyDescent="0.2">
      <c r="B100" s="8" t="s">
        <v>21</v>
      </c>
      <c r="C100" s="8" t="s">
        <v>105</v>
      </c>
      <c r="E100" s="11"/>
      <c r="G100" s="127">
        <f t="shared" si="2"/>
        <v>0</v>
      </c>
      <c r="H100" s="127"/>
      <c r="I100" s="175"/>
      <c r="J100" s="123"/>
      <c r="K100" s="94"/>
      <c r="L100" s="117">
        <f t="shared" si="1"/>
        <v>0</v>
      </c>
    </row>
    <row r="101" spans="2:12" x14ac:dyDescent="0.2">
      <c r="B101" s="2" t="s">
        <v>114</v>
      </c>
      <c r="E101" s="128">
        <f>SUM(E90:E100)</f>
        <v>939490</v>
      </c>
      <c r="F101" s="2"/>
      <c r="G101" s="130">
        <f>SUM(G90:G100)</f>
        <v>0.78860204006258516</v>
      </c>
      <c r="H101" s="178"/>
      <c r="I101" s="176"/>
      <c r="J101" s="118"/>
      <c r="K101" s="94"/>
      <c r="L101" s="117">
        <f t="shared" si="1"/>
        <v>0</v>
      </c>
    </row>
    <row r="102" spans="2:12" ht="6" customHeight="1" x14ac:dyDescent="0.2">
      <c r="G102" s="178"/>
      <c r="H102" s="178"/>
      <c r="I102" s="6"/>
      <c r="K102" s="94"/>
      <c r="L102" s="117">
        <f t="shared" si="1"/>
        <v>0</v>
      </c>
    </row>
    <row r="103" spans="2:12" x14ac:dyDescent="0.2">
      <c r="B103" s="2" t="s">
        <v>42</v>
      </c>
      <c r="E103" s="4"/>
      <c r="F103" s="2"/>
      <c r="I103" s="6"/>
      <c r="K103" s="94"/>
      <c r="L103" s="117">
        <f t="shared" si="1"/>
        <v>0</v>
      </c>
    </row>
    <row r="104" spans="2:12" x14ac:dyDescent="0.2">
      <c r="B104" s="8" t="s">
        <v>22</v>
      </c>
      <c r="C104" s="8" t="s">
        <v>107</v>
      </c>
      <c r="E104" s="11">
        <v>5100</v>
      </c>
      <c r="G104" s="127">
        <f t="shared" ref="G104:G110" si="3">IFERROR(E104/SUM($E$31,$E$36,$E$39:$E$41,$E$51:$E$54,$E$59,$E$63,$E$67,$E$84),"")</f>
        <v>4.2809081568927661E-3</v>
      </c>
      <c r="H104" s="127"/>
      <c r="I104" s="175"/>
      <c r="J104" s="123"/>
      <c r="K104" s="94"/>
      <c r="L104" s="117">
        <f t="shared" si="1"/>
        <v>0</v>
      </c>
    </row>
    <row r="105" spans="2:12" x14ac:dyDescent="0.2">
      <c r="B105" s="8" t="s">
        <v>23</v>
      </c>
      <c r="C105" s="8" t="s">
        <v>108</v>
      </c>
      <c r="E105" s="11">
        <v>9675</v>
      </c>
      <c r="G105" s="127">
        <f t="shared" si="3"/>
        <v>8.1211345917524529E-3</v>
      </c>
      <c r="H105" s="127"/>
      <c r="I105" s="175"/>
      <c r="J105" s="123"/>
      <c r="K105" s="94"/>
      <c r="L105" s="117">
        <f t="shared" si="1"/>
        <v>0</v>
      </c>
    </row>
    <row r="106" spans="2:12" x14ac:dyDescent="0.2">
      <c r="B106" s="8" t="s">
        <v>24</v>
      </c>
      <c r="C106" s="8" t="s">
        <v>109</v>
      </c>
      <c r="E106" s="11">
        <v>11455</v>
      </c>
      <c r="G106" s="127">
        <f t="shared" si="3"/>
        <v>9.6152554778836542E-3</v>
      </c>
      <c r="H106" s="127"/>
      <c r="I106" s="175"/>
      <c r="J106" s="123"/>
      <c r="K106" s="94"/>
      <c r="L106" s="117">
        <f t="shared" si="1"/>
        <v>0</v>
      </c>
    </row>
    <row r="107" spans="2:12" x14ac:dyDescent="0.2">
      <c r="B107" s="8" t="s">
        <v>25</v>
      </c>
      <c r="C107" s="8" t="s">
        <v>110</v>
      </c>
      <c r="E107" s="11">
        <v>2550</v>
      </c>
      <c r="G107" s="127">
        <f t="shared" si="3"/>
        <v>2.140454078446383E-3</v>
      </c>
      <c r="H107" s="127"/>
      <c r="I107" s="175"/>
      <c r="J107" s="123"/>
      <c r="K107" s="94"/>
      <c r="L107" s="117">
        <f t="shared" si="1"/>
        <v>0</v>
      </c>
    </row>
    <row r="108" spans="2:12" x14ac:dyDescent="0.2">
      <c r="B108" s="8" t="s">
        <v>26</v>
      </c>
      <c r="C108" s="8" t="s">
        <v>111</v>
      </c>
      <c r="E108" s="11">
        <v>14000</v>
      </c>
      <c r="G108" s="127">
        <f t="shared" si="3"/>
        <v>1.1751512587548769E-2</v>
      </c>
      <c r="H108" s="127"/>
      <c r="I108" s="175"/>
      <c r="J108" s="123"/>
      <c r="K108" s="94"/>
      <c r="L108" s="117">
        <f t="shared" si="1"/>
        <v>0</v>
      </c>
    </row>
    <row r="109" spans="2:12" x14ac:dyDescent="0.2">
      <c r="B109" s="8" t="s">
        <v>27</v>
      </c>
      <c r="C109" s="8" t="s">
        <v>40</v>
      </c>
      <c r="E109" s="11">
        <v>5100</v>
      </c>
      <c r="G109" s="127">
        <f t="shared" si="3"/>
        <v>4.2809081568927661E-3</v>
      </c>
      <c r="H109" s="127"/>
      <c r="I109" s="175"/>
      <c r="J109" s="123"/>
      <c r="K109" s="94"/>
      <c r="L109" s="117">
        <f t="shared" si="1"/>
        <v>0</v>
      </c>
    </row>
    <row r="110" spans="2:12" x14ac:dyDescent="0.2">
      <c r="B110" s="8" t="s">
        <v>28</v>
      </c>
      <c r="C110" s="8" t="s">
        <v>112</v>
      </c>
      <c r="E110" s="11">
        <v>8897</v>
      </c>
      <c r="G110" s="127">
        <f t="shared" si="3"/>
        <v>7.4680862493872423E-3</v>
      </c>
      <c r="H110" s="127"/>
      <c r="I110" s="175"/>
      <c r="J110" s="123"/>
      <c r="K110" s="94"/>
      <c r="L110" s="117">
        <f t="shared" si="1"/>
        <v>0</v>
      </c>
    </row>
    <row r="111" spans="2:12" x14ac:dyDescent="0.2">
      <c r="B111" s="2" t="s">
        <v>113</v>
      </c>
      <c r="E111" s="128">
        <f>SUM(E104:E110)</f>
        <v>56777</v>
      </c>
      <c r="F111" s="2"/>
      <c r="G111" s="130">
        <f>SUM(G104:G110)</f>
        <v>4.7658259298804032E-2</v>
      </c>
      <c r="H111" s="178"/>
      <c r="I111" s="177"/>
      <c r="J111" s="118"/>
      <c r="K111" s="94"/>
      <c r="L111" s="117">
        <f t="shared" si="1"/>
        <v>0</v>
      </c>
    </row>
    <row r="112" spans="2:12" ht="6" customHeight="1" x14ac:dyDescent="0.2">
      <c r="G112" s="178"/>
      <c r="H112" s="178"/>
      <c r="K112" s="94"/>
      <c r="L112" s="117">
        <f t="shared" si="1"/>
        <v>0</v>
      </c>
    </row>
    <row r="113" spans="2:12" x14ac:dyDescent="0.2">
      <c r="B113" s="2" t="s">
        <v>115</v>
      </c>
      <c r="E113" s="4"/>
      <c r="F113" s="2"/>
      <c r="K113" s="94"/>
      <c r="L113" s="117">
        <f t="shared" si="1"/>
        <v>0</v>
      </c>
    </row>
    <row r="114" spans="2:12" x14ac:dyDescent="0.2">
      <c r="B114" s="8" t="s">
        <v>29</v>
      </c>
      <c r="C114" s="8" t="s">
        <v>116</v>
      </c>
      <c r="E114" s="11">
        <v>45345</v>
      </c>
      <c r="G114" s="127">
        <f t="shared" ref="G114:G124" si="4">IFERROR(E114/SUM($E$31,$E$36,$E$39:$E$41,$E$51:$E$54,$E$59,$E$63,$E$67,$E$84),"")</f>
        <v>3.806230987731421E-2</v>
      </c>
      <c r="H114" s="127"/>
      <c r="I114" s="175"/>
      <c r="J114" s="123"/>
      <c r="K114" s="94"/>
      <c r="L114" s="117">
        <f t="shared" si="1"/>
        <v>0</v>
      </c>
    </row>
    <row r="115" spans="2:12" x14ac:dyDescent="0.2">
      <c r="B115" s="8" t="s">
        <v>30</v>
      </c>
      <c r="C115" s="8" t="s">
        <v>117</v>
      </c>
      <c r="E115" s="11">
        <v>8448</v>
      </c>
      <c r="G115" s="127">
        <f t="shared" si="4"/>
        <v>7.0911984528294284E-3</v>
      </c>
      <c r="H115" s="127"/>
      <c r="I115" s="175"/>
      <c r="J115" s="123"/>
      <c r="K115" s="94"/>
      <c r="L115" s="117">
        <f t="shared" si="1"/>
        <v>0</v>
      </c>
    </row>
    <row r="116" spans="2:12" x14ac:dyDescent="0.2">
      <c r="B116" s="8" t="s">
        <v>31</v>
      </c>
      <c r="C116" s="8" t="s">
        <v>118</v>
      </c>
      <c r="E116" s="11">
        <v>0</v>
      </c>
      <c r="G116" s="127">
        <f t="shared" si="4"/>
        <v>0</v>
      </c>
      <c r="H116" s="127"/>
      <c r="I116" s="175"/>
      <c r="J116" s="123"/>
      <c r="K116" s="94"/>
      <c r="L116" s="117">
        <f t="shared" si="1"/>
        <v>0</v>
      </c>
    </row>
    <row r="117" spans="2:12" x14ac:dyDescent="0.2">
      <c r="B117" s="8" t="s">
        <v>32</v>
      </c>
      <c r="C117" s="8" t="s">
        <v>119</v>
      </c>
      <c r="E117" s="11">
        <v>7093</v>
      </c>
      <c r="G117" s="127">
        <f t="shared" si="4"/>
        <v>5.953819913105958E-3</v>
      </c>
      <c r="H117" s="127"/>
      <c r="I117" s="175"/>
      <c r="J117" s="123"/>
      <c r="K117" s="94"/>
      <c r="L117" s="117">
        <f t="shared" si="1"/>
        <v>0</v>
      </c>
    </row>
    <row r="118" spans="2:12" x14ac:dyDescent="0.2">
      <c r="B118" s="8" t="s">
        <v>33</v>
      </c>
      <c r="C118" s="8" t="s">
        <v>120</v>
      </c>
      <c r="E118" s="11">
        <v>5253</v>
      </c>
      <c r="G118" s="127">
        <f t="shared" si="4"/>
        <v>4.4093354015995491E-3</v>
      </c>
      <c r="H118" s="127"/>
      <c r="I118" s="175"/>
      <c r="J118" s="123"/>
      <c r="K118" s="94"/>
      <c r="L118" s="117">
        <f t="shared" si="1"/>
        <v>0</v>
      </c>
    </row>
    <row r="119" spans="2:12" x14ac:dyDescent="0.2">
      <c r="B119" s="8" t="s">
        <v>34</v>
      </c>
      <c r="C119" s="8" t="s">
        <v>121</v>
      </c>
      <c r="E119" s="11">
        <v>459</v>
      </c>
      <c r="G119" s="127">
        <f t="shared" si="4"/>
        <v>3.8528173412034894E-4</v>
      </c>
      <c r="H119" s="127"/>
      <c r="I119" s="175"/>
      <c r="J119" s="123"/>
      <c r="K119" s="94"/>
      <c r="L119" s="117">
        <f t="shared" si="1"/>
        <v>0</v>
      </c>
    </row>
    <row r="120" spans="2:12" x14ac:dyDescent="0.2">
      <c r="B120" s="8" t="s">
        <v>35</v>
      </c>
      <c r="C120" s="8" t="s">
        <v>122</v>
      </c>
      <c r="E120" s="11">
        <v>49232</v>
      </c>
      <c r="G120" s="127">
        <f t="shared" si="4"/>
        <v>4.1325033407871498E-2</v>
      </c>
      <c r="H120" s="127"/>
      <c r="I120" s="175"/>
      <c r="J120" s="123"/>
      <c r="K120" s="94"/>
      <c r="L120" s="117">
        <f t="shared" si="1"/>
        <v>0</v>
      </c>
    </row>
    <row r="121" spans="2:12" x14ac:dyDescent="0.2">
      <c r="B121" s="8" t="s">
        <v>36</v>
      </c>
      <c r="C121" s="8" t="s">
        <v>123</v>
      </c>
      <c r="E121" s="11">
        <v>15773</v>
      </c>
      <c r="G121" s="127">
        <f t="shared" si="4"/>
        <v>1.3239757717386195E-2</v>
      </c>
      <c r="H121" s="127"/>
      <c r="I121" s="175"/>
      <c r="J121" s="123"/>
      <c r="K121" s="94"/>
      <c r="L121" s="117">
        <f t="shared" si="1"/>
        <v>0</v>
      </c>
    </row>
    <row r="122" spans="2:12" x14ac:dyDescent="0.2">
      <c r="B122" s="8" t="s">
        <v>37</v>
      </c>
      <c r="C122" s="8" t="s">
        <v>124</v>
      </c>
      <c r="E122" s="11">
        <v>17721</v>
      </c>
      <c r="G122" s="127">
        <f t="shared" si="4"/>
        <v>1.4874896754567981E-2</v>
      </c>
      <c r="H122" s="127"/>
      <c r="I122" s="175"/>
      <c r="J122" s="123"/>
      <c r="K122" s="94"/>
      <c r="L122" s="117">
        <f t="shared" si="1"/>
        <v>0</v>
      </c>
    </row>
    <row r="123" spans="2:12" x14ac:dyDescent="0.2">
      <c r="B123" s="8" t="s">
        <v>38</v>
      </c>
      <c r="C123" s="8" t="s">
        <v>125</v>
      </c>
      <c r="E123" s="11">
        <v>30944</v>
      </c>
      <c r="G123" s="127">
        <f t="shared" si="4"/>
        <v>2.5974200393507792E-2</v>
      </c>
      <c r="H123" s="127"/>
      <c r="I123" s="175"/>
      <c r="J123" s="123"/>
      <c r="K123" s="94"/>
      <c r="L123" s="117">
        <f t="shared" si="1"/>
        <v>0</v>
      </c>
    </row>
    <row r="124" spans="2:12" x14ac:dyDescent="0.2">
      <c r="B124" s="8" t="s">
        <v>39</v>
      </c>
      <c r="C124" s="8" t="s">
        <v>574</v>
      </c>
      <c r="E124" s="11"/>
      <c r="G124" s="127">
        <f t="shared" si="4"/>
        <v>0</v>
      </c>
      <c r="H124" s="127"/>
      <c r="I124" s="175"/>
      <c r="J124" s="123"/>
      <c r="K124" s="94"/>
      <c r="L124" s="117">
        <f t="shared" si="1"/>
        <v>0</v>
      </c>
    </row>
    <row r="125" spans="2:12" x14ac:dyDescent="0.2">
      <c r="B125" s="2" t="s">
        <v>126</v>
      </c>
      <c r="E125" s="128">
        <f>SUM(E114:E124)</f>
        <v>180268</v>
      </c>
      <c r="F125" s="2"/>
      <c r="G125" s="130">
        <f>SUM(G114:G124)</f>
        <v>0.15131583365230294</v>
      </c>
      <c r="H125" s="178"/>
      <c r="J125" s="118"/>
      <c r="K125" s="94"/>
      <c r="L125" s="117">
        <f t="shared" si="1"/>
        <v>0</v>
      </c>
    </row>
    <row r="126" spans="2:12" ht="6" customHeight="1" x14ac:dyDescent="0.2">
      <c r="G126" s="178"/>
      <c r="H126" s="178"/>
      <c r="K126" s="94"/>
      <c r="L126" s="117">
        <f t="shared" si="1"/>
        <v>0</v>
      </c>
    </row>
    <row r="127" spans="2:12" ht="13.5" thickBot="1" x14ac:dyDescent="0.25">
      <c r="B127" s="2" t="s">
        <v>347</v>
      </c>
      <c r="D127" s="2"/>
      <c r="E127" s="125">
        <f>SUM(E90:E125)/2</f>
        <v>1176535</v>
      </c>
      <c r="F127" s="118">
        <f>SUM(F75:F124)</f>
        <v>0</v>
      </c>
      <c r="G127" s="131">
        <f>IFERROR(E127/SUM($E$31,$E$36,$E$39:$E$41,$E$51:$E$54,$E$59,$E$63,$E$67:$E$68,$E$84),"")</f>
        <v>0.98757613301369218</v>
      </c>
      <c r="H127" s="178"/>
      <c r="K127" s="94"/>
      <c r="L127" s="117">
        <f t="shared" si="1"/>
        <v>0</v>
      </c>
    </row>
    <row r="128" spans="2:12" ht="6" customHeight="1" thickTop="1" x14ac:dyDescent="0.2">
      <c r="G128" s="178"/>
      <c r="K128" s="94"/>
      <c r="L128" s="117">
        <f t="shared" si="1"/>
        <v>0</v>
      </c>
    </row>
    <row r="129" spans="2:12" x14ac:dyDescent="0.2">
      <c r="B129" s="2" t="s">
        <v>333</v>
      </c>
      <c r="K129" s="94"/>
      <c r="L129" s="117">
        <f t="shared" si="1"/>
        <v>0</v>
      </c>
    </row>
    <row r="130" spans="2:12" x14ac:dyDescent="0.2">
      <c r="B130" s="8" t="s">
        <v>53</v>
      </c>
      <c r="C130" s="8" t="s">
        <v>334</v>
      </c>
      <c r="E130" s="11"/>
      <c r="K130" s="94"/>
      <c r="L130" s="117">
        <f t="shared" si="1"/>
        <v>0</v>
      </c>
    </row>
    <row r="131" spans="2:12" x14ac:dyDescent="0.2">
      <c r="B131" s="8" t="s">
        <v>54</v>
      </c>
      <c r="C131" s="8" t="s">
        <v>58</v>
      </c>
      <c r="E131" s="132">
        <f>E132-E130</f>
        <v>124054</v>
      </c>
      <c r="K131" s="94"/>
      <c r="L131" s="117">
        <f t="shared" si="1"/>
        <v>0</v>
      </c>
    </row>
    <row r="132" spans="2:12" ht="13.5" thickBot="1" x14ac:dyDescent="0.25">
      <c r="B132" s="2" t="s">
        <v>335</v>
      </c>
      <c r="E132" s="133">
        <f>E11+E86-E127</f>
        <v>124054</v>
      </c>
      <c r="K132" s="94"/>
      <c r="L132" s="117">
        <f t="shared" si="1"/>
        <v>0</v>
      </c>
    </row>
    <row r="133" spans="2:12" ht="9.9499999999999993" customHeight="1" thickTop="1" thickBot="1" x14ac:dyDescent="0.25">
      <c r="B133" s="8"/>
      <c r="C133" s="8"/>
      <c r="E133" s="123"/>
      <c r="G133" s="4"/>
      <c r="K133" s="94"/>
      <c r="L133" s="117">
        <f t="shared" si="1"/>
        <v>0</v>
      </c>
    </row>
    <row r="134" spans="2:12" ht="13.5" thickBot="1" x14ac:dyDescent="0.25">
      <c r="B134" s="134" t="s">
        <v>336</v>
      </c>
      <c r="C134" s="135"/>
      <c r="D134" s="135"/>
      <c r="E134" s="136">
        <f>E132-E11</f>
        <v>21601</v>
      </c>
      <c r="K134" s="94"/>
      <c r="L134" s="117">
        <f t="shared" si="1"/>
        <v>0</v>
      </c>
    </row>
    <row r="135" spans="2:12" x14ac:dyDescent="0.2">
      <c r="B135" s="8"/>
      <c r="G135" s="4"/>
      <c r="K135" s="94"/>
      <c r="L135" s="117">
        <f t="shared" si="1"/>
        <v>0</v>
      </c>
    </row>
    <row r="136" spans="2:12" ht="15.75" x14ac:dyDescent="0.25">
      <c r="B136" s="15" t="s">
        <v>648</v>
      </c>
      <c r="K136" s="94"/>
      <c r="L136" s="117">
        <f t="shared" si="1"/>
        <v>0</v>
      </c>
    </row>
    <row r="137" spans="2:12" x14ac:dyDescent="0.2">
      <c r="B137" s="8" t="s">
        <v>512</v>
      </c>
      <c r="C137" s="8" t="s">
        <v>655</v>
      </c>
      <c r="E137" s="158">
        <f>'Budget Plan Year 2'!E199</f>
        <v>250577</v>
      </c>
      <c r="I137" s="123"/>
      <c r="J137" s="174"/>
      <c r="K137" s="94"/>
      <c r="L137" s="117">
        <f t="shared" si="1"/>
        <v>0</v>
      </c>
    </row>
    <row r="138" spans="2:12" ht="13.5" customHeight="1" x14ac:dyDescent="0.2">
      <c r="B138" s="8" t="s">
        <v>540</v>
      </c>
      <c r="C138" s="8" t="s">
        <v>641</v>
      </c>
      <c r="E138" s="138">
        <f>-E10</f>
        <v>0</v>
      </c>
      <c r="K138" s="8" t="str">
        <f>IF(E138&lt;&gt;0,"Subject to approval by LA - see Section P of Finance Manual","")</f>
        <v/>
      </c>
      <c r="L138" s="117">
        <f t="shared" si="1"/>
        <v>0</v>
      </c>
    </row>
    <row r="139" spans="2:12" ht="13.5" customHeight="1" thickBot="1" x14ac:dyDescent="0.25">
      <c r="B139" s="2" t="s">
        <v>548</v>
      </c>
      <c r="C139" s="8"/>
      <c r="E139" s="120">
        <f>SUM(E137:E138)</f>
        <v>250577</v>
      </c>
      <c r="K139" s="94"/>
      <c r="L139" s="117">
        <f t="shared" si="1"/>
        <v>0</v>
      </c>
    </row>
    <row r="140" spans="2:12" ht="6" customHeight="1" thickTop="1" x14ac:dyDescent="0.2">
      <c r="C140" s="8"/>
      <c r="E140" s="116"/>
      <c r="K140" s="94"/>
      <c r="L140" s="117">
        <f t="shared" si="1"/>
        <v>0</v>
      </c>
    </row>
    <row r="141" spans="2:12" ht="15.75" x14ac:dyDescent="0.25">
      <c r="B141" s="15" t="s">
        <v>311</v>
      </c>
      <c r="K141" s="94"/>
      <c r="L141" s="117">
        <f t="shared" si="1"/>
        <v>0</v>
      </c>
    </row>
    <row r="142" spans="2:12" x14ac:dyDescent="0.2">
      <c r="B142" s="10"/>
      <c r="C142" s="10" t="s">
        <v>312</v>
      </c>
      <c r="E142" s="4"/>
      <c r="F142" s="2"/>
      <c r="K142" s="94"/>
      <c r="L142" s="117">
        <f t="shared" si="1"/>
        <v>0</v>
      </c>
    </row>
    <row r="143" spans="2:12" x14ac:dyDescent="0.2">
      <c r="B143" s="8" t="s">
        <v>64</v>
      </c>
      <c r="C143" s="8" t="s">
        <v>60</v>
      </c>
      <c r="E143" s="12"/>
      <c r="K143" s="94"/>
      <c r="L143" s="117">
        <f t="shared" si="1"/>
        <v>0</v>
      </c>
    </row>
    <row r="144" spans="2:12" x14ac:dyDescent="0.2">
      <c r="B144" s="8" t="s">
        <v>64</v>
      </c>
      <c r="C144" s="95" t="s">
        <v>545</v>
      </c>
      <c r="E144" s="12"/>
      <c r="I144" s="4"/>
      <c r="J144" s="4"/>
      <c r="K144" s="94"/>
      <c r="L144" s="117">
        <f t="shared" si="1"/>
        <v>0</v>
      </c>
    </row>
    <row r="145" spans="2:12" x14ac:dyDescent="0.2">
      <c r="B145" s="8" t="s">
        <v>64</v>
      </c>
      <c r="C145" s="95" t="s">
        <v>545</v>
      </c>
      <c r="E145" s="12"/>
      <c r="I145" s="107"/>
      <c r="J145" s="107"/>
      <c r="K145" s="94"/>
      <c r="L145" s="117">
        <f t="shared" ref="L145:L208" si="5">IF(LEFT(K145,5)="ERROR",1,0)</f>
        <v>0</v>
      </c>
    </row>
    <row r="146" spans="2:12" x14ac:dyDescent="0.2">
      <c r="B146" s="8" t="s">
        <v>64</v>
      </c>
      <c r="C146" s="8" t="s">
        <v>759</v>
      </c>
      <c r="E146" s="12"/>
      <c r="I146" s="107"/>
      <c r="J146" s="107"/>
      <c r="K146" s="94"/>
      <c r="L146" s="117">
        <f t="shared" si="5"/>
        <v>0</v>
      </c>
    </row>
    <row r="147" spans="2:12" x14ac:dyDescent="0.2">
      <c r="B147" s="8" t="s">
        <v>64</v>
      </c>
      <c r="C147" s="95" t="s">
        <v>546</v>
      </c>
      <c r="E147" s="12"/>
      <c r="I147" s="107"/>
      <c r="J147" s="107"/>
      <c r="K147" s="94"/>
      <c r="L147" s="117">
        <f t="shared" si="5"/>
        <v>0</v>
      </c>
    </row>
    <row r="148" spans="2:12" x14ac:dyDescent="0.2">
      <c r="B148" s="2"/>
      <c r="C148" s="2" t="s">
        <v>749</v>
      </c>
      <c r="E148" s="140">
        <f>SUM(E143:E147)</f>
        <v>0</v>
      </c>
      <c r="J148" s="123"/>
      <c r="K148" s="94"/>
      <c r="L148" s="117">
        <f t="shared" si="5"/>
        <v>0</v>
      </c>
    </row>
    <row r="149" spans="2:12" ht="9.9499999999999993" customHeight="1" x14ac:dyDescent="0.2">
      <c r="B149" s="2"/>
      <c r="C149" s="2"/>
      <c r="J149" s="123"/>
      <c r="K149" s="94"/>
      <c r="L149" s="117">
        <f t="shared" si="5"/>
        <v>0</v>
      </c>
    </row>
    <row r="150" spans="2:12" x14ac:dyDescent="0.2">
      <c r="B150" s="10"/>
      <c r="C150" s="10" t="s">
        <v>315</v>
      </c>
      <c r="J150" s="123"/>
      <c r="K150" s="94"/>
      <c r="L150" s="117">
        <f t="shared" si="5"/>
        <v>0</v>
      </c>
    </row>
    <row r="151" spans="2:12" x14ac:dyDescent="0.2">
      <c r="B151" s="8" t="s">
        <v>66</v>
      </c>
      <c r="C151" s="8" t="s">
        <v>313</v>
      </c>
      <c r="E151" s="12">
        <v>133221</v>
      </c>
      <c r="J151" s="123"/>
      <c r="K151" s="94"/>
      <c r="L151" s="117">
        <f t="shared" si="5"/>
        <v>0</v>
      </c>
    </row>
    <row r="152" spans="2:12" x14ac:dyDescent="0.2">
      <c r="B152" s="8" t="s">
        <v>66</v>
      </c>
      <c r="C152" s="8" t="s">
        <v>314</v>
      </c>
      <c r="E152" s="12"/>
      <c r="J152" s="123"/>
      <c r="K152" s="94"/>
      <c r="L152" s="117">
        <f t="shared" si="5"/>
        <v>0</v>
      </c>
    </row>
    <row r="153" spans="2:12" x14ac:dyDescent="0.2">
      <c r="B153" s="8" t="s">
        <v>66</v>
      </c>
      <c r="C153" s="95" t="s">
        <v>547</v>
      </c>
      <c r="E153" s="12"/>
      <c r="J153" s="123"/>
      <c r="K153" s="94"/>
      <c r="L153" s="117">
        <f t="shared" si="5"/>
        <v>0</v>
      </c>
    </row>
    <row r="154" spans="2:12" x14ac:dyDescent="0.2">
      <c r="B154" s="8" t="s">
        <v>66</v>
      </c>
      <c r="C154" s="95" t="s">
        <v>547</v>
      </c>
      <c r="E154" s="12"/>
      <c r="J154" s="123"/>
      <c r="K154" s="94"/>
      <c r="L154" s="117">
        <f t="shared" si="5"/>
        <v>0</v>
      </c>
    </row>
    <row r="155" spans="2:12" x14ac:dyDescent="0.2">
      <c r="B155" s="2"/>
      <c r="C155" s="2" t="s">
        <v>750</v>
      </c>
      <c r="E155" s="140">
        <f>SUM(E151:E154)</f>
        <v>133221</v>
      </c>
      <c r="J155" s="123"/>
      <c r="K155" s="94"/>
      <c r="L155" s="117">
        <f t="shared" si="5"/>
        <v>0</v>
      </c>
    </row>
    <row r="156" spans="2:12" ht="5.0999999999999996" customHeight="1" x14ac:dyDescent="0.2">
      <c r="B156" s="2"/>
      <c r="C156" s="2"/>
      <c r="J156" s="123"/>
      <c r="K156" s="94"/>
      <c r="L156" s="117">
        <f t="shared" si="5"/>
        <v>0</v>
      </c>
    </row>
    <row r="157" spans="2:12" ht="13.5" thickBot="1" x14ac:dyDescent="0.25">
      <c r="B157" s="2" t="s">
        <v>316</v>
      </c>
      <c r="D157" s="2"/>
      <c r="E157" s="125">
        <f>E148+E155</f>
        <v>133221</v>
      </c>
      <c r="F157" s="118"/>
      <c r="J157" s="118"/>
      <c r="K157" s="94"/>
      <c r="L157" s="117">
        <f t="shared" si="5"/>
        <v>0</v>
      </c>
    </row>
    <row r="158" spans="2:12" ht="5.45" customHeight="1" thickTop="1" x14ac:dyDescent="0.2">
      <c r="K158" s="94"/>
      <c r="L158" s="117">
        <f t="shared" si="5"/>
        <v>0</v>
      </c>
    </row>
    <row r="159" spans="2:12" ht="15.75" x14ac:dyDescent="0.25">
      <c r="B159" s="15" t="s">
        <v>317</v>
      </c>
      <c r="K159" s="94"/>
      <c r="L159" s="117">
        <f t="shared" si="5"/>
        <v>0</v>
      </c>
    </row>
    <row r="160" spans="2:12" x14ac:dyDescent="0.2">
      <c r="B160" s="2" t="s">
        <v>41</v>
      </c>
      <c r="K160" s="94"/>
      <c r="L160" s="117">
        <f t="shared" si="5"/>
        <v>0</v>
      </c>
    </row>
    <row r="161" spans="2:12" x14ac:dyDescent="0.2">
      <c r="B161" s="10"/>
      <c r="C161" s="10" t="s">
        <v>318</v>
      </c>
      <c r="E161" s="4"/>
      <c r="F161" s="2"/>
      <c r="K161" s="94"/>
      <c r="L161" s="117">
        <f t="shared" si="5"/>
        <v>0</v>
      </c>
    </row>
    <row r="162" spans="2:12" x14ac:dyDescent="0.2">
      <c r="B162" s="8" t="s">
        <v>61</v>
      </c>
      <c r="C162" s="8" t="s">
        <v>498</v>
      </c>
      <c r="E162" s="11">
        <v>57880</v>
      </c>
      <c r="K162" s="94"/>
      <c r="L162" s="117">
        <f t="shared" si="5"/>
        <v>0</v>
      </c>
    </row>
    <row r="163" spans="2:12" x14ac:dyDescent="0.2">
      <c r="B163" s="8" t="s">
        <v>61</v>
      </c>
      <c r="C163" s="8" t="s">
        <v>499</v>
      </c>
      <c r="E163" s="11">
        <v>7256</v>
      </c>
      <c r="K163" s="94"/>
      <c r="L163" s="117">
        <f t="shared" si="5"/>
        <v>0</v>
      </c>
    </row>
    <row r="164" spans="2:12" x14ac:dyDescent="0.2">
      <c r="B164" s="2"/>
      <c r="C164" s="2" t="s">
        <v>751</v>
      </c>
      <c r="E164" s="140">
        <f>SUM(E162:E163)</f>
        <v>65136</v>
      </c>
      <c r="J164" s="123"/>
      <c r="K164" s="94"/>
      <c r="L164" s="117">
        <f t="shared" si="5"/>
        <v>0</v>
      </c>
    </row>
    <row r="165" spans="2:12" ht="9.9499999999999993" customHeight="1" x14ac:dyDescent="0.2">
      <c r="B165" s="8"/>
      <c r="C165" s="2"/>
      <c r="E165" s="141"/>
      <c r="J165" s="123"/>
      <c r="K165" s="94"/>
      <c r="L165" s="117">
        <f t="shared" si="5"/>
        <v>0</v>
      </c>
    </row>
    <row r="166" spans="2:12" x14ac:dyDescent="0.2">
      <c r="B166" s="10"/>
      <c r="C166" s="10" t="s">
        <v>319</v>
      </c>
      <c r="E166" s="4"/>
      <c r="F166" s="2"/>
      <c r="K166" s="94"/>
      <c r="L166" s="117">
        <f t="shared" si="5"/>
        <v>0</v>
      </c>
    </row>
    <row r="167" spans="2:12" x14ac:dyDescent="0.2">
      <c r="B167" s="8" t="s">
        <v>62</v>
      </c>
      <c r="C167" s="8" t="s">
        <v>322</v>
      </c>
      <c r="E167" s="11"/>
      <c r="K167" s="94"/>
      <c r="L167" s="117">
        <f t="shared" si="5"/>
        <v>0</v>
      </c>
    </row>
    <row r="168" spans="2:12" x14ac:dyDescent="0.2">
      <c r="B168" s="8" t="s">
        <v>62</v>
      </c>
      <c r="C168" s="8" t="s">
        <v>320</v>
      </c>
      <c r="E168" s="11"/>
      <c r="K168" s="94"/>
      <c r="L168" s="117">
        <f t="shared" si="5"/>
        <v>0</v>
      </c>
    </row>
    <row r="169" spans="2:12" x14ac:dyDescent="0.2">
      <c r="B169" s="8" t="s">
        <v>62</v>
      </c>
      <c r="C169" s="8" t="s">
        <v>321</v>
      </c>
      <c r="E169" s="11">
        <v>120</v>
      </c>
      <c r="K169" s="94"/>
      <c r="L169" s="117">
        <f t="shared" si="5"/>
        <v>0</v>
      </c>
    </row>
    <row r="170" spans="2:12" x14ac:dyDescent="0.2">
      <c r="B170" s="8" t="s">
        <v>62</v>
      </c>
      <c r="C170" s="95" t="s">
        <v>550</v>
      </c>
      <c r="E170" s="11"/>
      <c r="K170" s="94"/>
      <c r="L170" s="117">
        <f t="shared" si="5"/>
        <v>0</v>
      </c>
    </row>
    <row r="171" spans="2:12" x14ac:dyDescent="0.2">
      <c r="B171" s="8" t="s">
        <v>62</v>
      </c>
      <c r="C171" s="95" t="s">
        <v>550</v>
      </c>
      <c r="E171" s="11"/>
      <c r="K171" s="94"/>
      <c r="L171" s="117">
        <f t="shared" si="5"/>
        <v>0</v>
      </c>
    </row>
    <row r="172" spans="2:12" ht="9.9499999999999993" customHeight="1" x14ac:dyDescent="0.2">
      <c r="B172" s="8"/>
      <c r="C172" s="2"/>
      <c r="E172" s="141"/>
      <c r="K172" s="94"/>
      <c r="L172" s="117">
        <f t="shared" si="5"/>
        <v>0</v>
      </c>
    </row>
    <row r="173" spans="2:12" x14ac:dyDescent="0.2">
      <c r="B173" s="2" t="s">
        <v>42</v>
      </c>
      <c r="K173" s="94"/>
      <c r="L173" s="117">
        <f t="shared" si="5"/>
        <v>0</v>
      </c>
    </row>
    <row r="174" spans="2:12" x14ac:dyDescent="0.2">
      <c r="B174" s="10"/>
      <c r="C174" s="10" t="s">
        <v>323</v>
      </c>
      <c r="E174" s="4"/>
      <c r="F174" s="2"/>
      <c r="K174" s="94"/>
      <c r="L174" s="117">
        <f t="shared" si="5"/>
        <v>0</v>
      </c>
    </row>
    <row r="175" spans="2:12" x14ac:dyDescent="0.2">
      <c r="B175" s="8" t="s">
        <v>62</v>
      </c>
      <c r="C175" s="8" t="s">
        <v>324</v>
      </c>
      <c r="E175" s="11"/>
      <c r="K175" s="94"/>
      <c r="L175" s="117">
        <f t="shared" si="5"/>
        <v>0</v>
      </c>
    </row>
    <row r="176" spans="2:12" x14ac:dyDescent="0.2">
      <c r="B176" s="8" t="s">
        <v>62</v>
      </c>
      <c r="C176" s="8" t="s">
        <v>325</v>
      </c>
      <c r="E176" s="11"/>
      <c r="K176" s="94"/>
      <c r="L176" s="117">
        <f t="shared" si="5"/>
        <v>0</v>
      </c>
    </row>
    <row r="177" spans="2:12" x14ac:dyDescent="0.2">
      <c r="B177" s="8" t="s">
        <v>62</v>
      </c>
      <c r="C177" s="8" t="s">
        <v>326</v>
      </c>
      <c r="E177" s="11">
        <v>1400</v>
      </c>
      <c r="K177" s="94"/>
      <c r="L177" s="117">
        <f t="shared" si="5"/>
        <v>0</v>
      </c>
    </row>
    <row r="178" spans="2:12" x14ac:dyDescent="0.2">
      <c r="B178" s="8" t="s">
        <v>62</v>
      </c>
      <c r="C178" s="8" t="s">
        <v>327</v>
      </c>
      <c r="E178" s="11">
        <v>1200</v>
      </c>
      <c r="K178" s="94"/>
      <c r="L178" s="117">
        <f t="shared" si="5"/>
        <v>0</v>
      </c>
    </row>
    <row r="179" spans="2:12" x14ac:dyDescent="0.2">
      <c r="B179" s="8" t="s">
        <v>62</v>
      </c>
      <c r="C179" s="8" t="s">
        <v>40</v>
      </c>
      <c r="E179" s="11"/>
      <c r="K179" s="94"/>
      <c r="L179" s="117">
        <f t="shared" si="5"/>
        <v>0</v>
      </c>
    </row>
    <row r="180" spans="2:12" x14ac:dyDescent="0.2">
      <c r="B180" s="8" t="s">
        <v>62</v>
      </c>
      <c r="C180" s="95" t="s">
        <v>551</v>
      </c>
      <c r="E180" s="11"/>
      <c r="K180" s="94"/>
      <c r="L180" s="117">
        <f t="shared" si="5"/>
        <v>0</v>
      </c>
    </row>
    <row r="181" spans="2:12" x14ac:dyDescent="0.2">
      <c r="B181" s="8" t="s">
        <v>62</v>
      </c>
      <c r="C181" s="95" t="s">
        <v>551</v>
      </c>
      <c r="E181" s="11"/>
      <c r="K181" s="94"/>
      <c r="L181" s="117">
        <f t="shared" si="5"/>
        <v>0</v>
      </c>
    </row>
    <row r="182" spans="2:12" ht="9.9499999999999993" customHeight="1" x14ac:dyDescent="0.2">
      <c r="K182" s="94"/>
      <c r="L182" s="117">
        <f t="shared" si="5"/>
        <v>0</v>
      </c>
    </row>
    <row r="183" spans="2:12" x14ac:dyDescent="0.2">
      <c r="B183" s="2" t="s">
        <v>115</v>
      </c>
      <c r="E183" s="4"/>
      <c r="F183" s="2"/>
      <c r="K183" s="94"/>
      <c r="L183" s="117">
        <f t="shared" si="5"/>
        <v>0</v>
      </c>
    </row>
    <row r="184" spans="2:12" x14ac:dyDescent="0.2">
      <c r="B184" s="10"/>
      <c r="C184" s="10" t="s">
        <v>323</v>
      </c>
      <c r="E184" s="4"/>
      <c r="F184" s="2"/>
      <c r="K184" s="94"/>
      <c r="L184" s="117">
        <f t="shared" si="5"/>
        <v>0</v>
      </c>
    </row>
    <row r="185" spans="2:12" x14ac:dyDescent="0.2">
      <c r="B185" s="8" t="s">
        <v>62</v>
      </c>
      <c r="C185" s="8" t="s">
        <v>328</v>
      </c>
      <c r="E185" s="11"/>
      <c r="K185" s="94"/>
      <c r="L185" s="117">
        <f t="shared" si="5"/>
        <v>0</v>
      </c>
    </row>
    <row r="186" spans="2:12" x14ac:dyDescent="0.2">
      <c r="B186" s="8" t="s">
        <v>62</v>
      </c>
      <c r="C186" s="8" t="s">
        <v>329</v>
      </c>
      <c r="E186" s="11"/>
      <c r="K186" s="94"/>
      <c r="L186" s="117">
        <f t="shared" si="5"/>
        <v>0</v>
      </c>
    </row>
    <row r="187" spans="2:12" x14ac:dyDescent="0.2">
      <c r="B187" s="8" t="s">
        <v>62</v>
      </c>
      <c r="C187" s="8" t="s">
        <v>330</v>
      </c>
      <c r="E187" s="11"/>
      <c r="K187" s="94"/>
      <c r="L187" s="117">
        <f t="shared" si="5"/>
        <v>0</v>
      </c>
    </row>
    <row r="188" spans="2:12" x14ac:dyDescent="0.2">
      <c r="B188" s="8" t="s">
        <v>62</v>
      </c>
      <c r="C188" s="8" t="s">
        <v>331</v>
      </c>
      <c r="E188" s="11"/>
      <c r="K188" s="94"/>
      <c r="L188" s="117">
        <f t="shared" si="5"/>
        <v>0</v>
      </c>
    </row>
    <row r="189" spans="2:12" x14ac:dyDescent="0.2">
      <c r="B189" s="8" t="s">
        <v>62</v>
      </c>
      <c r="C189" s="8" t="s">
        <v>332</v>
      </c>
      <c r="E189" s="11"/>
      <c r="K189" s="94"/>
      <c r="L189" s="117">
        <f t="shared" si="5"/>
        <v>0</v>
      </c>
    </row>
    <row r="190" spans="2:12" x14ac:dyDescent="0.2">
      <c r="B190" s="8" t="s">
        <v>62</v>
      </c>
      <c r="C190" s="95" t="s">
        <v>122</v>
      </c>
      <c r="E190" s="11">
        <v>9000</v>
      </c>
      <c r="K190" s="94"/>
      <c r="L190" s="117">
        <f t="shared" si="5"/>
        <v>0</v>
      </c>
    </row>
    <row r="191" spans="2:12" x14ac:dyDescent="0.2">
      <c r="B191" s="8" t="s">
        <v>62</v>
      </c>
      <c r="C191" s="95" t="s">
        <v>552</v>
      </c>
      <c r="E191" s="11"/>
      <c r="K191" s="94"/>
      <c r="L191" s="117">
        <f t="shared" si="5"/>
        <v>0</v>
      </c>
    </row>
    <row r="192" spans="2:12" x14ac:dyDescent="0.2">
      <c r="B192" s="8" t="s">
        <v>62</v>
      </c>
      <c r="C192" s="95" t="s">
        <v>552</v>
      </c>
      <c r="E192" s="11"/>
      <c r="K192" s="94"/>
      <c r="L192" s="117">
        <f t="shared" si="5"/>
        <v>0</v>
      </c>
    </row>
    <row r="193" spans="2:12" x14ac:dyDescent="0.2">
      <c r="B193" s="8" t="s">
        <v>62</v>
      </c>
      <c r="C193" s="95" t="s">
        <v>552</v>
      </c>
      <c r="E193" s="11"/>
      <c r="K193" s="94"/>
      <c r="L193" s="117">
        <f t="shared" si="5"/>
        <v>0</v>
      </c>
    </row>
    <row r="194" spans="2:12" x14ac:dyDescent="0.2">
      <c r="B194" s="2"/>
      <c r="C194" s="2" t="s">
        <v>752</v>
      </c>
      <c r="E194" s="140">
        <f>SUM(E167:E193)</f>
        <v>11720</v>
      </c>
      <c r="J194" s="123"/>
      <c r="K194" s="94"/>
      <c r="L194" s="117">
        <f t="shared" si="5"/>
        <v>0</v>
      </c>
    </row>
    <row r="195" spans="2:12" ht="9" customHeight="1" x14ac:dyDescent="0.2">
      <c r="B195" s="2"/>
      <c r="C195" s="2"/>
      <c r="J195" s="123"/>
      <c r="K195" s="94"/>
      <c r="L195" s="117">
        <f t="shared" si="5"/>
        <v>0</v>
      </c>
    </row>
    <row r="196" spans="2:12" ht="13.5" thickBot="1" x14ac:dyDescent="0.25">
      <c r="B196" s="2" t="s">
        <v>348</v>
      </c>
      <c r="D196" s="2"/>
      <c r="E196" s="125">
        <f>E164+E194</f>
        <v>76856</v>
      </c>
      <c r="F196" s="118"/>
      <c r="J196" s="118"/>
      <c r="K196" s="94"/>
      <c r="L196" s="117">
        <f t="shared" si="5"/>
        <v>0</v>
      </c>
    </row>
    <row r="197" spans="2:12" ht="5.45" customHeight="1" thickTop="1" x14ac:dyDescent="0.2">
      <c r="K197" s="94"/>
      <c r="L197" s="117">
        <f t="shared" si="5"/>
        <v>0</v>
      </c>
    </row>
    <row r="198" spans="2:12" x14ac:dyDescent="0.2">
      <c r="B198" s="2" t="s">
        <v>349</v>
      </c>
      <c r="K198" s="94"/>
      <c r="L198" s="117">
        <f t="shared" si="5"/>
        <v>0</v>
      </c>
    </row>
    <row r="199" spans="2:12" ht="13.5" thickBot="1" x14ac:dyDescent="0.25">
      <c r="B199" s="8" t="s">
        <v>65</v>
      </c>
      <c r="C199" s="8" t="s">
        <v>361</v>
      </c>
      <c r="E199" s="133">
        <f>E139+E157-E196</f>
        <v>306942</v>
      </c>
      <c r="K199" s="94"/>
      <c r="L199" s="117">
        <f t="shared" si="5"/>
        <v>0</v>
      </c>
    </row>
    <row r="200" spans="2:12" ht="6.6" customHeight="1" thickTop="1" thickBot="1" x14ac:dyDescent="0.25">
      <c r="B200" s="8"/>
      <c r="C200" s="8"/>
      <c r="E200" s="123"/>
      <c r="K200" s="94"/>
      <c r="L200" s="117">
        <f t="shared" si="5"/>
        <v>0</v>
      </c>
    </row>
    <row r="201" spans="2:12" ht="13.5" thickBot="1" x14ac:dyDescent="0.25">
      <c r="B201" s="134" t="s">
        <v>336</v>
      </c>
      <c r="C201" s="135"/>
      <c r="D201" s="135"/>
      <c r="E201" s="136">
        <f>E199-E139</f>
        <v>56365</v>
      </c>
      <c r="K201" s="94"/>
      <c r="L201" s="117">
        <f t="shared" si="5"/>
        <v>0</v>
      </c>
    </row>
    <row r="202" spans="2:12" x14ac:dyDescent="0.2">
      <c r="B202" s="2"/>
      <c r="G202" s="4"/>
      <c r="K202" s="94"/>
      <c r="L202" s="117">
        <f t="shared" si="5"/>
        <v>0</v>
      </c>
    </row>
    <row r="203" spans="2:12" ht="15.75" x14ac:dyDescent="0.25">
      <c r="B203" s="15" t="s">
        <v>337</v>
      </c>
      <c r="K203" s="94"/>
      <c r="L203" s="117">
        <f t="shared" si="5"/>
        <v>0</v>
      </c>
    </row>
    <row r="204" spans="2:12" ht="15.75" x14ac:dyDescent="0.25">
      <c r="B204" s="15" t="s">
        <v>310</v>
      </c>
      <c r="E204" s="4"/>
      <c r="F204" s="4"/>
      <c r="G204" s="4"/>
      <c r="K204" s="94"/>
      <c r="L204" s="117">
        <f t="shared" si="5"/>
        <v>0</v>
      </c>
    </row>
    <row r="205" spans="2:12" x14ac:dyDescent="0.2">
      <c r="B205" s="8" t="s">
        <v>543</v>
      </c>
      <c r="C205" s="8" t="s">
        <v>668</v>
      </c>
      <c r="E205" s="158">
        <f>'Budget Plan Year 2'!E227</f>
        <v>0</v>
      </c>
      <c r="F205" s="123"/>
      <c r="G205" s="2"/>
      <c r="K205" s="94"/>
      <c r="L205" s="117">
        <f t="shared" si="5"/>
        <v>0</v>
      </c>
    </row>
    <row r="206" spans="2:12" x14ac:dyDescent="0.2">
      <c r="B206" s="8" t="s">
        <v>544</v>
      </c>
      <c r="C206" s="8" t="s">
        <v>669</v>
      </c>
      <c r="E206" s="158">
        <f>'Budget Plan Year 2'!E228</f>
        <v>0</v>
      </c>
      <c r="F206" s="123"/>
      <c r="K206" s="94"/>
      <c r="L206" s="117">
        <f t="shared" si="5"/>
        <v>0</v>
      </c>
    </row>
    <row r="207" spans="2:12" ht="13.5" thickBot="1" x14ac:dyDescent="0.25">
      <c r="B207" s="2" t="s">
        <v>554</v>
      </c>
      <c r="C207" s="2"/>
      <c r="E207" s="120">
        <f>SUM(E205:E206)</f>
        <v>0</v>
      </c>
      <c r="F207" s="123"/>
      <c r="K207" s="94"/>
      <c r="L207" s="117">
        <f t="shared" si="5"/>
        <v>0</v>
      </c>
    </row>
    <row r="208" spans="2:12" ht="13.5" thickTop="1" x14ac:dyDescent="0.2">
      <c r="E208" s="123"/>
      <c r="F208" s="123"/>
      <c r="K208" s="94"/>
      <c r="L208" s="117">
        <f t="shared" si="5"/>
        <v>0</v>
      </c>
    </row>
    <row r="209" spans="2:12" ht="15.75" x14ac:dyDescent="0.25">
      <c r="B209" s="15" t="s">
        <v>339</v>
      </c>
      <c r="E209" s="123"/>
      <c r="F209" s="123"/>
      <c r="K209" s="94"/>
      <c r="L209" s="117">
        <f t="shared" ref="L209:L231" si="6">IF(LEFT(K209,5)="ERROR",1,0)</f>
        <v>0</v>
      </c>
    </row>
    <row r="210" spans="2:12" x14ac:dyDescent="0.2">
      <c r="B210" s="8" t="s">
        <v>43</v>
      </c>
      <c r="C210" s="8" t="s">
        <v>340</v>
      </c>
      <c r="E210" s="11"/>
      <c r="F210" s="123"/>
      <c r="K210" s="94"/>
      <c r="L210" s="117">
        <f t="shared" si="6"/>
        <v>0</v>
      </c>
    </row>
    <row r="211" spans="2:12" x14ac:dyDescent="0.2">
      <c r="B211" s="8" t="s">
        <v>43</v>
      </c>
      <c r="C211" s="8" t="s">
        <v>342</v>
      </c>
      <c r="E211" s="11"/>
      <c r="F211" s="123"/>
      <c r="K211" s="94"/>
      <c r="L211" s="117">
        <f t="shared" si="6"/>
        <v>0</v>
      </c>
    </row>
    <row r="212" spans="2:12" x14ac:dyDescent="0.2">
      <c r="B212" s="2"/>
      <c r="C212" s="2" t="s">
        <v>59</v>
      </c>
      <c r="E212" s="121">
        <f>SUM(E210:E211)</f>
        <v>0</v>
      </c>
      <c r="F212" s="123"/>
      <c r="K212" s="94"/>
      <c r="L212" s="117">
        <f t="shared" si="6"/>
        <v>0</v>
      </c>
    </row>
    <row r="213" spans="2:12" x14ac:dyDescent="0.2">
      <c r="E213" s="123"/>
      <c r="F213" s="123"/>
      <c r="K213" s="94"/>
      <c r="L213" s="117">
        <f t="shared" si="6"/>
        <v>0</v>
      </c>
    </row>
    <row r="214" spans="2:12" x14ac:dyDescent="0.2">
      <c r="B214" s="8" t="s">
        <v>44</v>
      </c>
      <c r="C214" s="8" t="s">
        <v>341</v>
      </c>
      <c r="E214" s="11"/>
      <c r="F214" s="123"/>
      <c r="K214" s="94"/>
      <c r="L214" s="117">
        <f t="shared" si="6"/>
        <v>0</v>
      </c>
    </row>
    <row r="215" spans="2:12" x14ac:dyDescent="0.2">
      <c r="B215" s="8" t="s">
        <v>45</v>
      </c>
      <c r="C215" s="8" t="s">
        <v>343</v>
      </c>
      <c r="E215" s="207">
        <f>E124</f>
        <v>0</v>
      </c>
      <c r="F215" s="123"/>
      <c r="K215" s="94"/>
      <c r="L215" s="117">
        <f t="shared" si="6"/>
        <v>0</v>
      </c>
    </row>
    <row r="216" spans="2:12" x14ac:dyDescent="0.2">
      <c r="E216" s="123"/>
      <c r="F216" s="123"/>
      <c r="K216" s="94"/>
      <c r="L216" s="117">
        <f t="shared" si="6"/>
        <v>0</v>
      </c>
    </row>
    <row r="217" spans="2:12" ht="13.5" thickBot="1" x14ac:dyDescent="0.25">
      <c r="B217" s="2" t="s">
        <v>344</v>
      </c>
      <c r="D217" s="2"/>
      <c r="E217" s="125">
        <f>E212+E214+E215</f>
        <v>0</v>
      </c>
      <c r="F217" s="118"/>
      <c r="K217" s="94"/>
      <c r="L217" s="117">
        <f t="shared" si="6"/>
        <v>0</v>
      </c>
    </row>
    <row r="218" spans="2:12" ht="13.5" thickTop="1" x14ac:dyDescent="0.2">
      <c r="E218" s="123"/>
      <c r="F218" s="123"/>
      <c r="K218" s="94"/>
      <c r="L218" s="117">
        <f t="shared" si="6"/>
        <v>0</v>
      </c>
    </row>
    <row r="219" spans="2:12" ht="15.75" x14ac:dyDescent="0.25">
      <c r="B219" s="15" t="s">
        <v>345</v>
      </c>
      <c r="E219" s="4"/>
      <c r="F219" s="4"/>
      <c r="K219" s="94"/>
      <c r="L219" s="117">
        <f t="shared" si="6"/>
        <v>0</v>
      </c>
    </row>
    <row r="220" spans="2:12" x14ac:dyDescent="0.2">
      <c r="B220" s="8" t="s">
        <v>46</v>
      </c>
      <c r="C220" s="8" t="s">
        <v>47</v>
      </c>
      <c r="E220" s="11"/>
      <c r="K220" s="94"/>
      <c r="L220" s="117">
        <f t="shared" si="6"/>
        <v>0</v>
      </c>
    </row>
    <row r="221" spans="2:12" x14ac:dyDescent="0.2">
      <c r="B221" s="8" t="s">
        <v>48</v>
      </c>
      <c r="C221" s="8" t="s">
        <v>49</v>
      </c>
      <c r="E221" s="11"/>
      <c r="K221" s="94"/>
      <c r="L221" s="117">
        <f t="shared" si="6"/>
        <v>0</v>
      </c>
    </row>
    <row r="222" spans="2:12" x14ac:dyDescent="0.2">
      <c r="B222" s="8" t="s">
        <v>50</v>
      </c>
      <c r="C222" s="8" t="s">
        <v>346</v>
      </c>
      <c r="E222" s="11"/>
      <c r="K222" s="94"/>
      <c r="L222" s="117">
        <f t="shared" si="6"/>
        <v>0</v>
      </c>
    </row>
    <row r="223" spans="2:12" x14ac:dyDescent="0.2">
      <c r="B223" s="8" t="s">
        <v>51</v>
      </c>
      <c r="C223" s="8" t="s">
        <v>52</v>
      </c>
      <c r="E223" s="11"/>
      <c r="K223" s="94"/>
      <c r="L223" s="117">
        <f t="shared" si="6"/>
        <v>0</v>
      </c>
    </row>
    <row r="224" spans="2:12" ht="13.5" thickBot="1" x14ac:dyDescent="0.25">
      <c r="B224" s="2" t="s">
        <v>350</v>
      </c>
      <c r="D224" s="2"/>
      <c r="E224" s="125">
        <f>SUM(E220:E223)</f>
        <v>0</v>
      </c>
      <c r="F224" s="118"/>
      <c r="K224" s="94"/>
      <c r="L224" s="117">
        <f t="shared" si="6"/>
        <v>0</v>
      </c>
    </row>
    <row r="225" spans="2:12" ht="13.5" thickTop="1" x14ac:dyDescent="0.2">
      <c r="E225" s="123"/>
      <c r="F225" s="123"/>
      <c r="K225" s="94"/>
      <c r="L225" s="117">
        <f t="shared" si="6"/>
        <v>0</v>
      </c>
    </row>
    <row r="226" spans="2:12" x14ac:dyDescent="0.2">
      <c r="B226" s="2" t="s">
        <v>351</v>
      </c>
      <c r="K226" s="94"/>
      <c r="L226" s="117">
        <f t="shared" si="6"/>
        <v>0</v>
      </c>
    </row>
    <row r="227" spans="2:12" x14ac:dyDescent="0.2">
      <c r="B227" s="8" t="s">
        <v>55</v>
      </c>
      <c r="C227" s="8" t="s">
        <v>57</v>
      </c>
      <c r="E227" s="11"/>
      <c r="K227" s="94"/>
      <c r="L227" s="117">
        <f t="shared" si="6"/>
        <v>0</v>
      </c>
    </row>
    <row r="228" spans="2:12" x14ac:dyDescent="0.2">
      <c r="B228" s="8" t="s">
        <v>56</v>
      </c>
      <c r="C228" s="8" t="s">
        <v>338</v>
      </c>
      <c r="E228" s="132">
        <f>E229-E227</f>
        <v>0</v>
      </c>
      <c r="K228" s="94"/>
      <c r="L228" s="117">
        <f t="shared" si="6"/>
        <v>0</v>
      </c>
    </row>
    <row r="229" spans="2:12" ht="13.5" thickBot="1" x14ac:dyDescent="0.25">
      <c r="B229" s="2" t="s">
        <v>335</v>
      </c>
      <c r="E229" s="133">
        <f>E207+E217-E224</f>
        <v>0</v>
      </c>
      <c r="K229" s="94"/>
      <c r="L229" s="117">
        <f t="shared" si="6"/>
        <v>0</v>
      </c>
    </row>
    <row r="230" spans="2:12" ht="14.25" thickTop="1" thickBot="1" x14ac:dyDescent="0.25">
      <c r="B230" s="8"/>
      <c r="C230" s="8"/>
      <c r="E230" s="123"/>
      <c r="K230" s="94"/>
      <c r="L230" s="117">
        <f t="shared" si="6"/>
        <v>0</v>
      </c>
    </row>
    <row r="231" spans="2:12" ht="13.5" thickBot="1" x14ac:dyDescent="0.25">
      <c r="B231" s="134" t="s">
        <v>336</v>
      </c>
      <c r="C231" s="135"/>
      <c r="D231" s="135"/>
      <c r="E231" s="136">
        <f>E229-E207</f>
        <v>0</v>
      </c>
      <c r="F231" s="154"/>
      <c r="K231" s="94"/>
      <c r="L231" s="117">
        <f t="shared" si="6"/>
        <v>0</v>
      </c>
    </row>
    <row r="232" spans="2:12" x14ac:dyDescent="0.2">
      <c r="E232" s="123"/>
      <c r="F232" s="123"/>
      <c r="L232" s="137">
        <f>SUM(L8:L231)</f>
        <v>0</v>
      </c>
    </row>
    <row r="233" spans="2:12" x14ac:dyDescent="0.2">
      <c r="E233" s="123"/>
      <c r="F233" s="123"/>
    </row>
    <row r="234" spans="2:12" x14ac:dyDescent="0.2">
      <c r="E234" s="123"/>
      <c r="F234" s="123"/>
      <c r="G234" s="4"/>
    </row>
    <row r="236" spans="2:12" x14ac:dyDescent="0.2">
      <c r="G236" s="4"/>
    </row>
  </sheetData>
  <sheetProtection algorithmName="SHA-512" hashValue="9hemcrmrkwAdY8ESjMJm1mv7IcbhbE/eySkK2ZWQUFBLYEs3VguciH2fQcKK9xU6F3WUCLsRT52WD7JTsZ5PCw==" saltValue="U5NcM1xH6Eo/CbeKSJPpaA==" spinCount="100000" sheet="1" objects="1" scenarios="1"/>
  <mergeCells count="2">
    <mergeCell ref="B4:C4"/>
    <mergeCell ref="A5:A7"/>
  </mergeCells>
  <phoneticPr fontId="28" type="noConversion"/>
  <conditionalFormatting sqref="E14:E28">
    <cfRule type="expression" dxfId="7" priority="2">
      <formula>LEFT(P14,5)="ERROR"</formula>
    </cfRule>
  </conditionalFormatting>
  <conditionalFormatting sqref="E29:E30">
    <cfRule type="expression" dxfId="6" priority="5">
      <formula>LEFT(K29,5)="ERROR"</formula>
    </cfRule>
  </conditionalFormatting>
  <conditionalFormatting sqref="E46:E47">
    <cfRule type="expression" dxfId="5" priority="1">
      <formula>LEFT(P46,5)="ERROR"</formula>
    </cfRule>
  </conditionalFormatting>
  <conditionalFormatting sqref="G133 G204:G205">
    <cfRule type="containsText" dxfId="4" priority="10" operator="containsText" text="Deficit">
      <formula>NOT(ISERROR(SEARCH("Deficit",G133)))</formula>
    </cfRule>
  </conditionalFormatting>
  <conditionalFormatting sqref="G135">
    <cfRule type="containsText" dxfId="3" priority="9" operator="containsText" text="Deficit">
      <formula>NOT(ISERROR(SEARCH("Deficit",G135)))</formula>
    </cfRule>
  </conditionalFormatting>
  <conditionalFormatting sqref="G202">
    <cfRule type="containsText" dxfId="2" priority="8" operator="containsText" text="Deficit">
      <formula>NOT(ISERROR(SEARCH("Deficit",G202)))</formula>
    </cfRule>
  </conditionalFormatting>
  <conditionalFormatting sqref="G234">
    <cfRule type="containsText" dxfId="1" priority="7" operator="containsText" text="Deficit">
      <formula>NOT(ISERROR(SEARCH("Deficit",G234)))</formula>
    </cfRule>
  </conditionalFormatting>
  <conditionalFormatting sqref="G236">
    <cfRule type="containsText" dxfId="0" priority="6" operator="containsText" text="Deficit">
      <formula>NOT(ISERROR(SEARCH("Deficit",G236)))</formula>
    </cfRule>
  </conditionalFormatting>
  <pageMargins left="0.23622047244094491" right="0.15748031496062992" top="0.23" bottom="0.19685039370078741" header="0.15748031496062992" footer="0.15748031496062992"/>
  <pageSetup paperSize="9" fitToHeight="0" orientation="portrait" horizontalDpi="4294967293" verticalDpi="4294967293" r:id="rId1"/>
  <rowBreaks count="2" manualBreakCount="2">
    <brk id="67" max="5" man="1"/>
    <brk id="135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pageSetUpPr fitToPage="1"/>
  </sheetPr>
  <dimension ref="B1:L130"/>
  <sheetViews>
    <sheetView tabSelected="1" zoomScaleNormal="100" workbookViewId="0">
      <pane ySplit="4" topLeftCell="A5" activePane="bottomLeft" state="frozen"/>
      <selection activeCell="B1" sqref="B1"/>
      <selection pane="bottomLeft" activeCell="P16" sqref="P16"/>
    </sheetView>
  </sheetViews>
  <sheetFormatPr defaultRowHeight="12.75" x14ac:dyDescent="0.2"/>
  <cols>
    <col min="1" max="1" width="1.28515625" customWidth="1"/>
    <col min="2" max="2" width="6.7109375" customWidth="1"/>
    <col min="3" max="3" width="35.28515625" customWidth="1"/>
    <col min="4" max="4" width="0.85546875" customWidth="1"/>
    <col min="5" max="5" width="12.140625" bestFit="1" customWidth="1"/>
    <col min="6" max="6" width="6.7109375" bestFit="1" customWidth="1"/>
    <col min="7" max="7" width="0.85546875" customWidth="1"/>
    <col min="8" max="8" width="12.140625" customWidth="1"/>
    <col min="9" max="9" width="6.7109375" customWidth="1"/>
    <col min="10" max="10" width="0.85546875" customWidth="1"/>
    <col min="11" max="11" width="12.140625" customWidth="1"/>
    <col min="12" max="12" width="6.7109375" customWidth="1"/>
  </cols>
  <sheetData>
    <row r="1" spans="2:12" ht="18" x14ac:dyDescent="0.25">
      <c r="B1" s="164" t="str">
        <f>'School &amp; Other Info'!F4&amp;" ~ Three Year Plan"</f>
        <v>Nutfield Church CofE Primary School ~ Three Year Plan</v>
      </c>
      <c r="F1" s="104"/>
      <c r="G1" s="104"/>
      <c r="J1" s="104"/>
    </row>
    <row r="2" spans="2:12" x14ac:dyDescent="0.2">
      <c r="B2" s="179" t="s">
        <v>505</v>
      </c>
      <c r="C2" s="180" t="str">
        <f>'School &amp; Other Info'!H6</f>
        <v>VA</v>
      </c>
      <c r="D2" s="179"/>
      <c r="E2" s="179"/>
      <c r="F2" s="181"/>
      <c r="G2" s="181"/>
      <c r="H2" s="179"/>
      <c r="I2" s="179"/>
      <c r="J2" s="181"/>
      <c r="K2" s="179"/>
      <c r="L2" s="179"/>
    </row>
    <row r="3" spans="2:12" x14ac:dyDescent="0.2">
      <c r="B3" s="179" t="s">
        <v>74</v>
      </c>
      <c r="C3" s="180">
        <f>'School &amp; Other Info'!D4</f>
        <v>3376</v>
      </c>
      <c r="D3" s="179"/>
      <c r="E3" s="283" t="s">
        <v>561</v>
      </c>
      <c r="F3" s="283"/>
      <c r="G3" s="181"/>
      <c r="H3" s="283" t="s">
        <v>562</v>
      </c>
      <c r="I3" s="283"/>
      <c r="J3" s="181"/>
      <c r="K3" s="283" t="s">
        <v>563</v>
      </c>
      <c r="L3" s="283"/>
    </row>
    <row r="4" spans="2:12" x14ac:dyDescent="0.2">
      <c r="B4" s="179" t="s">
        <v>684</v>
      </c>
      <c r="C4" s="180" t="str">
        <f>'Budget Plan Year 1'!D4</f>
        <v>ECFE8719</v>
      </c>
      <c r="D4" s="179"/>
      <c r="E4" s="284" t="str">
        <f>setups!D4</f>
        <v>2025-26</v>
      </c>
      <c r="F4" s="284"/>
      <c r="G4" s="181"/>
      <c r="H4" s="284" t="str">
        <f>LEFT(E4,4)+1&amp;"-"&amp;RIGHT(E4,2)+1</f>
        <v>2026-27</v>
      </c>
      <c r="I4" s="284"/>
      <c r="J4" s="181"/>
      <c r="K4" s="284" t="str">
        <f>LEFT(H4,4)+1&amp;"-"&amp;RIGHT(H4,2)+1</f>
        <v>2027-28</v>
      </c>
      <c r="L4" s="284"/>
    </row>
    <row r="5" spans="2:12" ht="12.75" customHeight="1" x14ac:dyDescent="0.2">
      <c r="B5" s="179"/>
      <c r="C5" s="180"/>
      <c r="D5" s="179"/>
      <c r="E5" s="179"/>
      <c r="F5" s="179"/>
      <c r="G5" s="179"/>
      <c r="H5" s="179"/>
      <c r="I5" s="179"/>
      <c r="J5" s="179"/>
      <c r="K5" s="179"/>
      <c r="L5" s="179"/>
    </row>
    <row r="6" spans="2:12" ht="15" x14ac:dyDescent="0.25">
      <c r="B6" s="198" t="s">
        <v>595</v>
      </c>
      <c r="C6" s="179"/>
      <c r="D6" s="179"/>
      <c r="E6" s="181"/>
      <c r="F6" s="181"/>
      <c r="G6" s="181"/>
      <c r="H6" s="181"/>
      <c r="I6" s="181"/>
      <c r="J6" s="181"/>
      <c r="K6" s="181"/>
      <c r="L6" s="179"/>
    </row>
    <row r="7" spans="2:12" x14ac:dyDescent="0.2">
      <c r="B7" s="182" t="s">
        <v>575</v>
      </c>
      <c r="C7" s="179"/>
      <c r="D7" s="179"/>
      <c r="E7" s="179"/>
      <c r="F7" s="179"/>
      <c r="G7" s="179"/>
      <c r="H7" s="179"/>
      <c r="I7" s="179"/>
      <c r="J7" s="179"/>
      <c r="K7" s="179"/>
      <c r="L7" s="179"/>
    </row>
    <row r="8" spans="2:12" x14ac:dyDescent="0.2">
      <c r="B8" s="179" t="s">
        <v>511</v>
      </c>
      <c r="C8" s="179" t="s">
        <v>677</v>
      </c>
      <c r="D8" s="179"/>
      <c r="E8" s="183">
        <f>SUMIF(CFR_Yr1,B8,Exp_Yr1)</f>
        <v>6000</v>
      </c>
      <c r="F8" s="183"/>
      <c r="G8" s="183"/>
      <c r="H8" s="183">
        <f>SUMIF(CFR_Yr2,$B8,Exp_Yr2)</f>
        <v>0</v>
      </c>
      <c r="I8" s="183"/>
      <c r="J8" s="183"/>
      <c r="K8" s="183">
        <f>SUMIF(CFR_Yr3,$B8,Exp_Yr3)</f>
        <v>10000</v>
      </c>
      <c r="L8" s="179"/>
    </row>
    <row r="9" spans="2:12" x14ac:dyDescent="0.2">
      <c r="B9" s="179" t="s">
        <v>541</v>
      </c>
      <c r="C9" s="179" t="s">
        <v>685</v>
      </c>
      <c r="D9" s="179"/>
      <c r="E9" s="183">
        <f>SUMIF(CFR_Yr1,B9,Exp_Yr1)</f>
        <v>67333</v>
      </c>
      <c r="F9" s="183"/>
      <c r="G9" s="183"/>
      <c r="H9" s="183">
        <f>SUMIF(CFR_Yr2,$B9,Exp_Yr2)</f>
        <v>84312</v>
      </c>
      <c r="I9" s="183"/>
      <c r="J9" s="183"/>
      <c r="K9" s="183">
        <f>SUMIF(CFR_Yr3,$B9,Exp_Yr3)</f>
        <v>92453</v>
      </c>
      <c r="L9" s="179"/>
    </row>
    <row r="10" spans="2:12" x14ac:dyDescent="0.2">
      <c r="B10" s="179" t="s">
        <v>542</v>
      </c>
      <c r="C10" s="179" t="s">
        <v>560</v>
      </c>
      <c r="D10" s="179"/>
      <c r="E10" s="183">
        <f>SUMIF(CFR_Yr1,B10,Exp_Yr1)</f>
        <v>28129</v>
      </c>
      <c r="F10" s="183"/>
      <c r="G10" s="183"/>
      <c r="H10" s="183">
        <f>SUMIF(CFR_Yr2,$B10,Exp_Yr2)</f>
        <v>0</v>
      </c>
      <c r="I10" s="183"/>
      <c r="J10" s="183"/>
      <c r="K10" s="183">
        <f>SUMIF(CFR_Yr3,$B10,Exp_Yr3)</f>
        <v>0</v>
      </c>
      <c r="L10" s="179"/>
    </row>
    <row r="11" spans="2:12" x14ac:dyDescent="0.2">
      <c r="B11" s="182" t="s">
        <v>59</v>
      </c>
      <c r="C11" s="179"/>
      <c r="D11" s="179"/>
      <c r="E11" s="184">
        <f>SUM(E8:E10)</f>
        <v>101462</v>
      </c>
      <c r="F11" s="185"/>
      <c r="G11" s="185"/>
      <c r="H11" s="184">
        <f>SUM(H8:H10)</f>
        <v>84312</v>
      </c>
      <c r="I11" s="185"/>
      <c r="J11" s="185"/>
      <c r="K11" s="184">
        <f>SUM(K8:K10)</f>
        <v>102453</v>
      </c>
      <c r="L11" s="179"/>
    </row>
    <row r="12" spans="2:12" ht="5.0999999999999996" customHeight="1" x14ac:dyDescent="0.2">
      <c r="B12" s="179"/>
      <c r="C12" s="179"/>
      <c r="D12" s="179"/>
      <c r="E12" s="183"/>
      <c r="F12" s="183"/>
      <c r="G12" s="183"/>
      <c r="H12" s="183"/>
      <c r="I12" s="183"/>
      <c r="J12" s="183"/>
      <c r="K12" s="183"/>
      <c r="L12" s="179"/>
    </row>
    <row r="13" spans="2:12" x14ac:dyDescent="0.2">
      <c r="B13" s="182" t="s">
        <v>583</v>
      </c>
      <c r="C13" s="179"/>
      <c r="D13" s="179"/>
      <c r="E13" s="183"/>
      <c r="F13" s="183"/>
      <c r="G13" s="183"/>
      <c r="H13" s="183"/>
      <c r="I13" s="183"/>
      <c r="J13" s="183"/>
      <c r="K13" s="183"/>
      <c r="L13" s="179"/>
    </row>
    <row r="14" spans="2:12" x14ac:dyDescent="0.2">
      <c r="B14" s="179" t="s">
        <v>0</v>
      </c>
      <c r="C14" s="179" t="s">
        <v>564</v>
      </c>
      <c r="D14" s="179"/>
      <c r="E14" s="183">
        <f t="shared" ref="E14:E29" si="0">SUMIF(CFR_Yr1,B14,Exp_Yr1)</f>
        <v>1074894</v>
      </c>
      <c r="F14" s="183"/>
      <c r="G14" s="183"/>
      <c r="H14" s="183">
        <f t="shared" ref="H14:H29" si="1">SUMIF(CFR_Yr2,$B14,Exp_Yr2)</f>
        <v>1077236</v>
      </c>
      <c r="I14" s="183"/>
      <c r="J14" s="183"/>
      <c r="K14" s="183">
        <f t="shared" ref="K14:K29" si="2">SUMIF(CFR_Yr3,$B14,Exp_Yr3)</f>
        <v>1085487</v>
      </c>
      <c r="L14" s="179"/>
    </row>
    <row r="15" spans="2:12" x14ac:dyDescent="0.2">
      <c r="B15" s="179" t="s">
        <v>1</v>
      </c>
      <c r="C15" s="179" t="s">
        <v>82</v>
      </c>
      <c r="D15" s="179"/>
      <c r="E15" s="183">
        <f t="shared" si="0"/>
        <v>0</v>
      </c>
      <c r="F15" s="183"/>
      <c r="G15" s="183"/>
      <c r="H15" s="183">
        <f t="shared" si="1"/>
        <v>0</v>
      </c>
      <c r="I15" s="183"/>
      <c r="J15" s="183"/>
      <c r="K15" s="183">
        <f t="shared" si="2"/>
        <v>0</v>
      </c>
      <c r="L15" s="179"/>
    </row>
    <row r="16" spans="2:12" x14ac:dyDescent="0.2">
      <c r="B16" s="179" t="s">
        <v>2</v>
      </c>
      <c r="C16" s="179" t="s">
        <v>83</v>
      </c>
      <c r="D16" s="179"/>
      <c r="E16" s="183">
        <f t="shared" si="0"/>
        <v>22046</v>
      </c>
      <c r="F16" s="183"/>
      <c r="G16" s="183"/>
      <c r="H16" s="183">
        <f t="shared" si="1"/>
        <v>22046</v>
      </c>
      <c r="I16" s="183"/>
      <c r="J16" s="183"/>
      <c r="K16" s="183">
        <f t="shared" si="2"/>
        <v>3228</v>
      </c>
      <c r="L16" s="179"/>
    </row>
    <row r="17" spans="2:12" x14ac:dyDescent="0.2">
      <c r="B17" s="179" t="s">
        <v>565</v>
      </c>
      <c r="C17" s="179" t="s">
        <v>566</v>
      </c>
      <c r="D17" s="179"/>
      <c r="E17" s="183">
        <f t="shared" si="0"/>
        <v>0</v>
      </c>
      <c r="F17" s="183"/>
      <c r="G17" s="183"/>
      <c r="H17" s="183">
        <f t="shared" si="1"/>
        <v>0</v>
      </c>
      <c r="I17" s="183"/>
      <c r="J17" s="183"/>
      <c r="K17" s="183">
        <f t="shared" si="2"/>
        <v>0</v>
      </c>
      <c r="L17" s="179"/>
    </row>
    <row r="18" spans="2:12" x14ac:dyDescent="0.2">
      <c r="B18" s="179" t="s">
        <v>70</v>
      </c>
      <c r="C18" s="179" t="s">
        <v>84</v>
      </c>
      <c r="D18" s="179"/>
      <c r="E18" s="183">
        <f t="shared" si="0"/>
        <v>31780</v>
      </c>
      <c r="F18" s="183"/>
      <c r="G18" s="183"/>
      <c r="H18" s="183">
        <f t="shared" si="1"/>
        <v>31780</v>
      </c>
      <c r="I18" s="183"/>
      <c r="J18" s="183"/>
      <c r="K18" s="183">
        <f t="shared" si="2"/>
        <v>31780</v>
      </c>
      <c r="L18" s="179"/>
    </row>
    <row r="19" spans="2:12" x14ac:dyDescent="0.2">
      <c r="B19" s="179" t="s">
        <v>3</v>
      </c>
      <c r="C19" s="179" t="s">
        <v>88</v>
      </c>
      <c r="D19" s="179"/>
      <c r="E19" s="183">
        <f t="shared" si="0"/>
        <v>0</v>
      </c>
      <c r="F19" s="183"/>
      <c r="G19" s="183"/>
      <c r="H19" s="183">
        <f t="shared" si="1"/>
        <v>0</v>
      </c>
      <c r="I19" s="183"/>
      <c r="J19" s="183"/>
      <c r="K19" s="183">
        <f t="shared" si="2"/>
        <v>0</v>
      </c>
      <c r="L19" s="179"/>
    </row>
    <row r="20" spans="2:12" x14ac:dyDescent="0.2">
      <c r="B20" s="179" t="s">
        <v>4</v>
      </c>
      <c r="C20" s="179" t="s">
        <v>567</v>
      </c>
      <c r="D20" s="179"/>
      <c r="E20" s="183">
        <f t="shared" si="0"/>
        <v>0</v>
      </c>
      <c r="F20" s="183"/>
      <c r="G20" s="183"/>
      <c r="H20" s="183">
        <f t="shared" si="1"/>
        <v>0</v>
      </c>
      <c r="I20" s="183"/>
      <c r="J20" s="183"/>
      <c r="K20" s="183">
        <f t="shared" si="2"/>
        <v>0</v>
      </c>
      <c r="L20" s="179"/>
    </row>
    <row r="21" spans="2:12" x14ac:dyDescent="0.2">
      <c r="B21" s="179" t="s">
        <v>535</v>
      </c>
      <c r="C21" s="179" t="s">
        <v>568</v>
      </c>
      <c r="D21" s="179"/>
      <c r="E21" s="183">
        <f t="shared" si="0"/>
        <v>0</v>
      </c>
      <c r="F21" s="183"/>
      <c r="G21" s="183"/>
      <c r="H21" s="183">
        <f t="shared" si="1"/>
        <v>0</v>
      </c>
      <c r="I21" s="183"/>
      <c r="J21" s="183"/>
      <c r="K21" s="183">
        <f t="shared" si="2"/>
        <v>0</v>
      </c>
      <c r="L21" s="179"/>
    </row>
    <row r="22" spans="2:12" x14ac:dyDescent="0.2">
      <c r="B22" s="179" t="s">
        <v>534</v>
      </c>
      <c r="C22" s="179" t="s">
        <v>569</v>
      </c>
      <c r="D22" s="179"/>
      <c r="E22" s="183">
        <f t="shared" si="0"/>
        <v>2840</v>
      </c>
      <c r="F22" s="183"/>
      <c r="G22" s="183"/>
      <c r="H22" s="183">
        <f t="shared" si="1"/>
        <v>2840</v>
      </c>
      <c r="I22" s="183"/>
      <c r="J22" s="183"/>
      <c r="K22" s="183">
        <f t="shared" si="2"/>
        <v>2840</v>
      </c>
      <c r="L22" s="179"/>
    </row>
    <row r="23" spans="2:12" x14ac:dyDescent="0.2">
      <c r="B23" s="179" t="s">
        <v>5</v>
      </c>
      <c r="C23" s="179" t="s">
        <v>91</v>
      </c>
      <c r="D23" s="179"/>
      <c r="E23" s="183">
        <f t="shared" si="0"/>
        <v>0</v>
      </c>
      <c r="F23" s="183"/>
      <c r="G23" s="183"/>
      <c r="H23" s="183">
        <f t="shared" si="1"/>
        <v>0</v>
      </c>
      <c r="I23" s="183"/>
      <c r="J23" s="183"/>
      <c r="K23" s="183">
        <f t="shared" si="2"/>
        <v>0</v>
      </c>
      <c r="L23" s="179"/>
    </row>
    <row r="24" spans="2:12" x14ac:dyDescent="0.2">
      <c r="B24" s="179" t="s">
        <v>6</v>
      </c>
      <c r="C24" s="179" t="s">
        <v>678</v>
      </c>
      <c r="D24" s="179"/>
      <c r="E24" s="183">
        <f t="shared" si="0"/>
        <v>16830</v>
      </c>
      <c r="F24" s="183"/>
      <c r="G24" s="183"/>
      <c r="H24" s="183">
        <f t="shared" si="1"/>
        <v>0</v>
      </c>
      <c r="I24" s="183"/>
      <c r="J24" s="183"/>
      <c r="K24" s="183">
        <f t="shared" si="2"/>
        <v>0</v>
      </c>
      <c r="L24" s="179"/>
    </row>
    <row r="25" spans="2:12" x14ac:dyDescent="0.2">
      <c r="B25" s="179" t="s">
        <v>7</v>
      </c>
      <c r="C25" s="179" t="s">
        <v>570</v>
      </c>
      <c r="D25" s="179"/>
      <c r="E25" s="183">
        <f t="shared" si="0"/>
        <v>0</v>
      </c>
      <c r="F25" s="183"/>
      <c r="G25" s="183"/>
      <c r="H25" s="183">
        <f t="shared" si="1"/>
        <v>0</v>
      </c>
      <c r="I25" s="183"/>
      <c r="J25" s="183"/>
      <c r="K25" s="183">
        <f t="shared" si="2"/>
        <v>0</v>
      </c>
      <c r="L25" s="179"/>
    </row>
    <row r="26" spans="2:12" x14ac:dyDescent="0.2">
      <c r="B26" s="179" t="s">
        <v>8</v>
      </c>
      <c r="C26" s="179" t="s">
        <v>571</v>
      </c>
      <c r="D26" s="179"/>
      <c r="E26" s="183">
        <f t="shared" si="0"/>
        <v>3800</v>
      </c>
      <c r="F26" s="183"/>
      <c r="G26" s="183"/>
      <c r="H26" s="183">
        <f t="shared" si="1"/>
        <v>3800</v>
      </c>
      <c r="I26" s="183"/>
      <c r="J26" s="183"/>
      <c r="K26" s="183">
        <f t="shared" si="2"/>
        <v>3800</v>
      </c>
      <c r="L26" s="179"/>
    </row>
    <row r="27" spans="2:12" x14ac:dyDescent="0.2">
      <c r="B27" s="179" t="s">
        <v>9</v>
      </c>
      <c r="C27" s="179" t="s">
        <v>572</v>
      </c>
      <c r="D27" s="179"/>
      <c r="E27" s="183">
        <f t="shared" si="0"/>
        <v>3000</v>
      </c>
      <c r="F27" s="183"/>
      <c r="G27" s="183"/>
      <c r="H27" s="183">
        <f t="shared" si="1"/>
        <v>3000</v>
      </c>
      <c r="I27" s="183"/>
      <c r="J27" s="183"/>
      <c r="K27" s="183">
        <f t="shared" si="2"/>
        <v>3000</v>
      </c>
      <c r="L27" s="179"/>
    </row>
    <row r="28" spans="2:12" x14ac:dyDescent="0.2">
      <c r="B28" s="179" t="s">
        <v>63</v>
      </c>
      <c r="C28" s="179" t="s">
        <v>679</v>
      </c>
      <c r="D28" s="179"/>
      <c r="E28" s="183">
        <f t="shared" si="0"/>
        <v>0</v>
      </c>
      <c r="F28" s="183"/>
      <c r="G28" s="183"/>
      <c r="H28" s="183">
        <f t="shared" si="1"/>
        <v>0</v>
      </c>
      <c r="I28" s="183"/>
      <c r="J28" s="183"/>
      <c r="K28" s="183">
        <f t="shared" si="2"/>
        <v>0</v>
      </c>
      <c r="L28" s="179"/>
    </row>
    <row r="29" spans="2:12" x14ac:dyDescent="0.2">
      <c r="B29" s="179" t="s">
        <v>72</v>
      </c>
      <c r="C29" s="179" t="s">
        <v>573</v>
      </c>
      <c r="D29" s="179"/>
      <c r="E29" s="183">
        <f t="shared" si="0"/>
        <v>67300</v>
      </c>
      <c r="F29" s="183"/>
      <c r="G29" s="183"/>
      <c r="H29" s="183">
        <f t="shared" si="1"/>
        <v>68001</v>
      </c>
      <c r="I29" s="183"/>
      <c r="J29" s="183"/>
      <c r="K29" s="183">
        <f t="shared" si="2"/>
        <v>68001</v>
      </c>
      <c r="L29" s="179"/>
    </row>
    <row r="30" spans="2:12" x14ac:dyDescent="0.2">
      <c r="B30" s="182" t="s">
        <v>59</v>
      </c>
      <c r="C30" s="179"/>
      <c r="D30" s="179"/>
      <c r="E30" s="184">
        <f>SUM(E14:E29)</f>
        <v>1222490</v>
      </c>
      <c r="F30" s="185"/>
      <c r="G30" s="185"/>
      <c r="H30" s="184">
        <f>SUM(H14:H29)</f>
        <v>1208703</v>
      </c>
      <c r="I30" s="185"/>
      <c r="J30" s="185"/>
      <c r="K30" s="184">
        <f>SUM(K14:K29)</f>
        <v>1198136</v>
      </c>
      <c r="L30" s="179"/>
    </row>
    <row r="31" spans="2:12" ht="5.0999999999999996" customHeight="1" x14ac:dyDescent="0.2">
      <c r="B31" s="179"/>
      <c r="C31" s="179"/>
      <c r="D31" s="179"/>
      <c r="E31" s="183"/>
      <c r="F31" s="183"/>
      <c r="G31" s="183"/>
      <c r="H31" s="183"/>
      <c r="I31" s="183"/>
      <c r="J31" s="183"/>
      <c r="K31" s="183"/>
      <c r="L31" s="179"/>
    </row>
    <row r="32" spans="2:12" x14ac:dyDescent="0.2">
      <c r="B32" s="182" t="s">
        <v>557</v>
      </c>
      <c r="C32" s="179"/>
      <c r="D32" s="179"/>
      <c r="E32" s="183"/>
      <c r="F32" s="183"/>
      <c r="G32" s="183"/>
      <c r="H32" s="183"/>
      <c r="I32" s="183"/>
      <c r="J32" s="183"/>
      <c r="K32" s="183"/>
      <c r="L32" s="179"/>
    </row>
    <row r="33" spans="2:12" x14ac:dyDescent="0.2">
      <c r="B33" s="179" t="s">
        <v>11</v>
      </c>
      <c r="C33" s="179" t="s">
        <v>100</v>
      </c>
      <c r="D33" s="179"/>
      <c r="E33" s="183">
        <f t="shared" ref="E33:E43" si="3">SUMIF(CFR_Yr1,B33,Exp_Yr1)</f>
        <v>591497</v>
      </c>
      <c r="F33" s="186">
        <f t="shared" ref="F33:F43" si="4">IFERROR(VLOOKUP($B33,Yr1_Percent,10,FALSE),0)</f>
        <v>0.49338288040304956</v>
      </c>
      <c r="G33" s="186"/>
      <c r="H33" s="183">
        <f t="shared" ref="H33:H43" si="5">SUMIF(CFR_Yr2,$B33,Exp_Yr2)</f>
        <v>602198</v>
      </c>
      <c r="I33" s="186">
        <f t="shared" ref="I33:I43" si="6">VLOOKUP($B33,Yr2_Percent,6,FALSE)</f>
        <v>0.5010371053238073</v>
      </c>
      <c r="J33" s="183"/>
      <c r="K33" s="183">
        <f t="shared" ref="K33:K43" si="7">SUMIF(CFR_Yr3,$B33,Exp_Yr3)</f>
        <v>602198</v>
      </c>
      <c r="L33" s="186">
        <f t="shared" ref="L33:L43" si="8">VLOOKUP($B33,Yr3_Percent,6,FALSE)</f>
        <v>0.50548124122833527</v>
      </c>
    </row>
    <row r="34" spans="2:12" x14ac:dyDescent="0.2">
      <c r="B34" s="179" t="s">
        <v>12</v>
      </c>
      <c r="C34" s="179" t="s">
        <v>492</v>
      </c>
      <c r="D34" s="179"/>
      <c r="E34" s="183">
        <f t="shared" si="3"/>
        <v>0</v>
      </c>
      <c r="F34" s="186">
        <f t="shared" si="4"/>
        <v>0</v>
      </c>
      <c r="G34" s="186"/>
      <c r="H34" s="183">
        <f t="shared" si="5"/>
        <v>0</v>
      </c>
      <c r="I34" s="186">
        <f t="shared" si="6"/>
        <v>0</v>
      </c>
      <c r="J34" s="183"/>
      <c r="K34" s="183">
        <f t="shared" si="7"/>
        <v>0</v>
      </c>
      <c r="L34" s="186">
        <f t="shared" si="8"/>
        <v>0</v>
      </c>
    </row>
    <row r="35" spans="2:12" x14ac:dyDescent="0.2">
      <c r="B35" s="179" t="s">
        <v>13</v>
      </c>
      <c r="C35" s="179" t="s">
        <v>493</v>
      </c>
      <c r="D35" s="179"/>
      <c r="E35" s="183">
        <f t="shared" si="3"/>
        <v>160054</v>
      </c>
      <c r="F35" s="186">
        <f t="shared" si="4"/>
        <v>0.13350516323840983</v>
      </c>
      <c r="G35" s="186"/>
      <c r="H35" s="183">
        <f t="shared" si="5"/>
        <v>160478</v>
      </c>
      <c r="I35" s="186">
        <f t="shared" si="6"/>
        <v>0.1335199263168492</v>
      </c>
      <c r="J35" s="183"/>
      <c r="K35" s="183">
        <f t="shared" si="7"/>
        <v>160724</v>
      </c>
      <c r="L35" s="186">
        <f t="shared" si="8"/>
        <v>0.13491072208008487</v>
      </c>
    </row>
    <row r="36" spans="2:12" x14ac:dyDescent="0.2">
      <c r="B36" s="179" t="s">
        <v>14</v>
      </c>
      <c r="C36" s="179" t="s">
        <v>494</v>
      </c>
      <c r="D36" s="179"/>
      <c r="E36" s="183">
        <f t="shared" si="3"/>
        <v>40576</v>
      </c>
      <c r="F36" s="186">
        <f t="shared" si="4"/>
        <v>3.3845486545551605E-2</v>
      </c>
      <c r="G36" s="186"/>
      <c r="H36" s="183">
        <f t="shared" si="5"/>
        <v>40024</v>
      </c>
      <c r="I36" s="186">
        <f t="shared" si="6"/>
        <v>3.3300524251957106E-2</v>
      </c>
      <c r="J36" s="183"/>
      <c r="K36" s="183">
        <f t="shared" si="7"/>
        <v>40024</v>
      </c>
      <c r="L36" s="186">
        <f t="shared" si="8"/>
        <v>3.3595895700289424E-2</v>
      </c>
    </row>
    <row r="37" spans="2:12" x14ac:dyDescent="0.2">
      <c r="B37" s="179" t="s">
        <v>15</v>
      </c>
      <c r="C37" s="179" t="s">
        <v>495</v>
      </c>
      <c r="D37" s="179"/>
      <c r="E37" s="183">
        <f t="shared" si="3"/>
        <v>91536</v>
      </c>
      <c r="F37" s="186">
        <f t="shared" si="4"/>
        <v>7.6352534908162753E-2</v>
      </c>
      <c r="G37" s="186"/>
      <c r="H37" s="183">
        <f t="shared" si="5"/>
        <v>92107</v>
      </c>
      <c r="I37" s="186">
        <f t="shared" si="6"/>
        <v>7.663430409941567E-2</v>
      </c>
      <c r="J37" s="183"/>
      <c r="K37" s="183">
        <f t="shared" si="7"/>
        <v>94246</v>
      </c>
      <c r="L37" s="186">
        <f t="shared" si="8"/>
        <v>7.9109503951865806E-2</v>
      </c>
    </row>
    <row r="38" spans="2:12" x14ac:dyDescent="0.2">
      <c r="B38" s="179" t="s">
        <v>16</v>
      </c>
      <c r="C38" s="179" t="s">
        <v>496</v>
      </c>
      <c r="D38" s="179"/>
      <c r="E38" s="183">
        <f t="shared" si="3"/>
        <v>0</v>
      </c>
      <c r="F38" s="186">
        <f t="shared" si="4"/>
        <v>0</v>
      </c>
      <c r="G38" s="186"/>
      <c r="H38" s="183">
        <f t="shared" si="5"/>
        <v>0</v>
      </c>
      <c r="I38" s="186">
        <f t="shared" si="6"/>
        <v>0</v>
      </c>
      <c r="J38" s="183"/>
      <c r="K38" s="183">
        <f t="shared" si="7"/>
        <v>0</v>
      </c>
      <c r="L38" s="186">
        <f t="shared" si="8"/>
        <v>0</v>
      </c>
    </row>
    <row r="39" spans="2:12" x14ac:dyDescent="0.2">
      <c r="B39" s="179" t="s">
        <v>17</v>
      </c>
      <c r="C39" s="179" t="s">
        <v>497</v>
      </c>
      <c r="D39" s="179"/>
      <c r="E39" s="183">
        <f t="shared" si="3"/>
        <v>30143</v>
      </c>
      <c r="F39" s="186">
        <f t="shared" si="4"/>
        <v>2.5143052566604943E-2</v>
      </c>
      <c r="G39" s="186"/>
      <c r="H39" s="183">
        <f t="shared" si="5"/>
        <v>30226</v>
      </c>
      <c r="I39" s="186">
        <f t="shared" si="6"/>
        <v>2.514845207974354E-2</v>
      </c>
      <c r="J39" s="183"/>
      <c r="K39" s="183">
        <f t="shared" si="7"/>
        <v>30258</v>
      </c>
      <c r="L39" s="186">
        <f t="shared" si="8"/>
        <v>2.5398376276717902E-2</v>
      </c>
    </row>
    <row r="40" spans="2:12" x14ac:dyDescent="0.2">
      <c r="B40" s="179" t="s">
        <v>18</v>
      </c>
      <c r="C40" s="179" t="s">
        <v>322</v>
      </c>
      <c r="D40" s="179"/>
      <c r="E40" s="183">
        <f t="shared" si="3"/>
        <v>510</v>
      </c>
      <c r="F40" s="186">
        <f t="shared" si="4"/>
        <v>4.2540413392723085E-4</v>
      </c>
      <c r="G40" s="186"/>
      <c r="H40" s="183">
        <f t="shared" si="5"/>
        <v>510</v>
      </c>
      <c r="I40" s="186">
        <f t="shared" si="6"/>
        <v>4.2432708795967725E-4</v>
      </c>
      <c r="J40" s="183"/>
      <c r="K40" s="183">
        <f t="shared" si="7"/>
        <v>510</v>
      </c>
      <c r="L40" s="186">
        <f t="shared" si="8"/>
        <v>4.280908156892766E-4</v>
      </c>
    </row>
    <row r="41" spans="2:12" x14ac:dyDescent="0.2">
      <c r="B41" s="179" t="s">
        <v>19</v>
      </c>
      <c r="C41" s="179" t="s">
        <v>103</v>
      </c>
      <c r="D41" s="179"/>
      <c r="E41" s="183">
        <f t="shared" si="3"/>
        <v>4080</v>
      </c>
      <c r="F41" s="186">
        <f t="shared" si="4"/>
        <v>3.4032330714178468E-3</v>
      </c>
      <c r="G41" s="186"/>
      <c r="H41" s="183">
        <f t="shared" si="5"/>
        <v>4080</v>
      </c>
      <c r="I41" s="186">
        <f t="shared" si="6"/>
        <v>3.394616703677418E-3</v>
      </c>
      <c r="J41" s="183"/>
      <c r="K41" s="183">
        <f t="shared" si="7"/>
        <v>4080</v>
      </c>
      <c r="L41" s="186">
        <f t="shared" si="8"/>
        <v>3.4247265255142128E-3</v>
      </c>
    </row>
    <row r="42" spans="2:12" x14ac:dyDescent="0.2">
      <c r="B42" s="179" t="s">
        <v>20</v>
      </c>
      <c r="C42" s="179" t="s">
        <v>104</v>
      </c>
      <c r="D42" s="179"/>
      <c r="E42" s="183">
        <f t="shared" si="3"/>
        <v>7450</v>
      </c>
      <c r="F42" s="186">
        <f t="shared" si="4"/>
        <v>6.214236858348765E-3</v>
      </c>
      <c r="G42" s="186"/>
      <c r="H42" s="183">
        <f t="shared" si="5"/>
        <v>7450</v>
      </c>
      <c r="I42" s="186">
        <f t="shared" si="6"/>
        <v>6.1985035398031286E-3</v>
      </c>
      <c r="J42" s="183"/>
      <c r="K42" s="183">
        <f t="shared" si="7"/>
        <v>7450</v>
      </c>
      <c r="L42" s="186">
        <f t="shared" si="8"/>
        <v>6.2534834840884523E-3</v>
      </c>
    </row>
    <row r="43" spans="2:12" x14ac:dyDescent="0.2">
      <c r="B43" s="179" t="s">
        <v>21</v>
      </c>
      <c r="C43" s="179" t="s">
        <v>105</v>
      </c>
      <c r="D43" s="179"/>
      <c r="E43" s="183">
        <f t="shared" si="3"/>
        <v>0</v>
      </c>
      <c r="F43" s="186">
        <f t="shared" si="4"/>
        <v>0</v>
      </c>
      <c r="G43" s="186"/>
      <c r="H43" s="183">
        <f t="shared" si="5"/>
        <v>0</v>
      </c>
      <c r="I43" s="186">
        <f t="shared" si="6"/>
        <v>0</v>
      </c>
      <c r="J43" s="183"/>
      <c r="K43" s="183">
        <f t="shared" si="7"/>
        <v>0</v>
      </c>
      <c r="L43" s="186">
        <f t="shared" si="8"/>
        <v>0</v>
      </c>
    </row>
    <row r="44" spans="2:12" x14ac:dyDescent="0.2">
      <c r="B44" s="182" t="s">
        <v>59</v>
      </c>
      <c r="C44" s="179"/>
      <c r="D44" s="179"/>
      <c r="E44" s="184">
        <f>SUM(E33:E43)</f>
        <v>925846</v>
      </c>
      <c r="F44" s="187">
        <f>SUM(F33:F43)</f>
        <v>0.77227199172547267</v>
      </c>
      <c r="G44" s="188"/>
      <c r="H44" s="184">
        <f>SUM(H33:H43)</f>
        <v>937073</v>
      </c>
      <c r="I44" s="187">
        <f>SUM(I33:I43)</f>
        <v>0.77965775940321302</v>
      </c>
      <c r="J44" s="185"/>
      <c r="K44" s="184">
        <f>SUM(K33:K43)</f>
        <v>939490</v>
      </c>
      <c r="L44" s="187">
        <f>SUM(L33:L43)</f>
        <v>0.78860204006258516</v>
      </c>
    </row>
    <row r="45" spans="2:12" ht="5.0999999999999996" customHeight="1" x14ac:dyDescent="0.2">
      <c r="B45" s="179"/>
      <c r="C45" s="179"/>
      <c r="D45" s="179"/>
      <c r="E45" s="183"/>
      <c r="F45" s="183"/>
      <c r="G45" s="183"/>
      <c r="H45" s="183"/>
      <c r="I45" s="183"/>
      <c r="J45" s="183"/>
      <c r="K45" s="183"/>
      <c r="L45" s="183"/>
    </row>
    <row r="46" spans="2:12" x14ac:dyDescent="0.2">
      <c r="B46" s="182" t="s">
        <v>558</v>
      </c>
      <c r="C46" s="179"/>
      <c r="D46" s="179"/>
      <c r="E46" s="183"/>
      <c r="F46" s="183"/>
      <c r="G46" s="183"/>
      <c r="H46" s="183"/>
      <c r="I46" s="183"/>
      <c r="J46" s="183"/>
      <c r="K46" s="183"/>
      <c r="L46" s="183"/>
    </row>
    <row r="47" spans="2:12" x14ac:dyDescent="0.2">
      <c r="B47" s="179" t="s">
        <v>22</v>
      </c>
      <c r="C47" s="179" t="s">
        <v>107</v>
      </c>
      <c r="D47" s="179"/>
      <c r="E47" s="183">
        <f t="shared" ref="E47:E53" si="9">SUMIF(CFR_Yr1,B47,Exp_Yr1)</f>
        <v>5100</v>
      </c>
      <c r="F47" s="186">
        <f t="shared" ref="F47:F53" si="10">IFERROR(VLOOKUP($B47,Yr1_Percent,10,FALSE),0)</f>
        <v>4.2540413392723091E-3</v>
      </c>
      <c r="G47" s="183"/>
      <c r="H47" s="183">
        <f t="shared" ref="H47:H53" si="11">SUMIF(CFR_Yr2,$B47,Exp_Yr2)</f>
        <v>5100</v>
      </c>
      <c r="I47" s="186">
        <f t="shared" ref="I47:I53" si="12">VLOOKUP($B47,Yr2_Percent,6,FALSE)</f>
        <v>4.2432708795967725E-3</v>
      </c>
      <c r="J47" s="183"/>
      <c r="K47" s="183">
        <f t="shared" ref="K47:K53" si="13">SUMIF(CFR_Yr3,$B47,Exp_Yr3)</f>
        <v>5100</v>
      </c>
      <c r="L47" s="186">
        <f t="shared" ref="L47:L53" si="14">VLOOKUP($B47,Yr3_Percent,6,FALSE)</f>
        <v>4.2809081568927661E-3</v>
      </c>
    </row>
    <row r="48" spans="2:12" x14ac:dyDescent="0.2">
      <c r="B48" s="179" t="s">
        <v>23</v>
      </c>
      <c r="C48" s="179" t="s">
        <v>108</v>
      </c>
      <c r="D48" s="179"/>
      <c r="E48" s="183">
        <f t="shared" si="9"/>
        <v>9675</v>
      </c>
      <c r="F48" s="186">
        <f t="shared" si="10"/>
        <v>8.07016665832541E-3</v>
      </c>
      <c r="G48" s="183"/>
      <c r="H48" s="183">
        <f t="shared" si="11"/>
        <v>9675</v>
      </c>
      <c r="I48" s="186">
        <f t="shared" si="12"/>
        <v>8.0497344627644667E-3</v>
      </c>
      <c r="J48" s="183"/>
      <c r="K48" s="183">
        <f t="shared" si="13"/>
        <v>9675</v>
      </c>
      <c r="L48" s="186">
        <f t="shared" si="14"/>
        <v>8.1211345917524529E-3</v>
      </c>
    </row>
    <row r="49" spans="2:12" x14ac:dyDescent="0.2">
      <c r="B49" s="179" t="s">
        <v>24</v>
      </c>
      <c r="C49" s="179" t="s">
        <v>109</v>
      </c>
      <c r="D49" s="179"/>
      <c r="E49" s="183">
        <f t="shared" si="9"/>
        <v>11445</v>
      </c>
      <c r="F49" s="186">
        <f t="shared" si="10"/>
        <v>9.5465692407787402E-3</v>
      </c>
      <c r="G49" s="183"/>
      <c r="H49" s="183">
        <f t="shared" si="11"/>
        <v>11455</v>
      </c>
      <c r="I49" s="186">
        <f t="shared" si="12"/>
        <v>9.5307192011335352E-3</v>
      </c>
      <c r="J49" s="183"/>
      <c r="K49" s="183">
        <f t="shared" si="13"/>
        <v>11455</v>
      </c>
      <c r="L49" s="186">
        <f t="shared" si="14"/>
        <v>9.6152554778836542E-3</v>
      </c>
    </row>
    <row r="50" spans="2:12" x14ac:dyDescent="0.2">
      <c r="B50" s="179" t="s">
        <v>25</v>
      </c>
      <c r="C50" s="179" t="s">
        <v>110</v>
      </c>
      <c r="D50" s="179"/>
      <c r="E50" s="183">
        <f t="shared" si="9"/>
        <v>2550</v>
      </c>
      <c r="F50" s="186">
        <f t="shared" si="10"/>
        <v>2.1270206696361546E-3</v>
      </c>
      <c r="G50" s="183"/>
      <c r="H50" s="183">
        <f t="shared" si="11"/>
        <v>2550</v>
      </c>
      <c r="I50" s="186">
        <f t="shared" si="12"/>
        <v>2.1216354397983863E-3</v>
      </c>
      <c r="J50" s="183"/>
      <c r="K50" s="183">
        <f t="shared" si="13"/>
        <v>2550</v>
      </c>
      <c r="L50" s="186">
        <f t="shared" si="14"/>
        <v>2.140454078446383E-3</v>
      </c>
    </row>
    <row r="51" spans="2:12" x14ac:dyDescent="0.2">
      <c r="B51" s="179" t="s">
        <v>26</v>
      </c>
      <c r="C51" s="179" t="s">
        <v>111</v>
      </c>
      <c r="D51" s="179"/>
      <c r="E51" s="183">
        <f t="shared" si="9"/>
        <v>14200</v>
      </c>
      <c r="F51" s="186">
        <f t="shared" si="10"/>
        <v>1.1844585689738585E-2</v>
      </c>
      <c r="G51" s="183"/>
      <c r="H51" s="183">
        <f t="shared" si="11"/>
        <v>14000</v>
      </c>
      <c r="I51" s="186">
        <f t="shared" si="12"/>
        <v>1.1648194571442122E-2</v>
      </c>
      <c r="J51" s="183"/>
      <c r="K51" s="183">
        <f t="shared" si="13"/>
        <v>14000</v>
      </c>
      <c r="L51" s="186">
        <f t="shared" si="14"/>
        <v>1.1751512587548769E-2</v>
      </c>
    </row>
    <row r="52" spans="2:12" x14ac:dyDescent="0.2">
      <c r="B52" s="179" t="s">
        <v>27</v>
      </c>
      <c r="C52" s="179" t="s">
        <v>40</v>
      </c>
      <c r="D52" s="179"/>
      <c r="E52" s="183">
        <f t="shared" si="9"/>
        <v>5100</v>
      </c>
      <c r="F52" s="186">
        <f t="shared" si="10"/>
        <v>4.2540413392723091E-3</v>
      </c>
      <c r="G52" s="183"/>
      <c r="H52" s="183">
        <f t="shared" si="11"/>
        <v>5100</v>
      </c>
      <c r="I52" s="186">
        <f t="shared" si="12"/>
        <v>4.2432708795967725E-3</v>
      </c>
      <c r="J52" s="183"/>
      <c r="K52" s="183">
        <f t="shared" si="13"/>
        <v>5100</v>
      </c>
      <c r="L52" s="186">
        <f t="shared" si="14"/>
        <v>4.2809081568927661E-3</v>
      </c>
    </row>
    <row r="53" spans="2:12" x14ac:dyDescent="0.2">
      <c r="B53" s="179" t="s">
        <v>28</v>
      </c>
      <c r="C53" s="179" t="s">
        <v>112</v>
      </c>
      <c r="D53" s="179"/>
      <c r="E53" s="183">
        <f t="shared" si="9"/>
        <v>8897</v>
      </c>
      <c r="F53" s="186">
        <f t="shared" si="10"/>
        <v>7.4212168226481827E-3</v>
      </c>
      <c r="G53" s="183"/>
      <c r="H53" s="183">
        <f t="shared" si="11"/>
        <v>8897</v>
      </c>
      <c r="I53" s="186">
        <f t="shared" si="12"/>
        <v>7.4024276501514679E-3</v>
      </c>
      <c r="J53" s="183"/>
      <c r="K53" s="183">
        <f t="shared" si="13"/>
        <v>8897</v>
      </c>
      <c r="L53" s="186">
        <f t="shared" si="14"/>
        <v>7.4680862493872423E-3</v>
      </c>
    </row>
    <row r="54" spans="2:12" x14ac:dyDescent="0.2">
      <c r="B54" s="182" t="s">
        <v>59</v>
      </c>
      <c r="C54" s="179"/>
      <c r="D54" s="179"/>
      <c r="E54" s="184">
        <f>SUM(E47:E53)</f>
        <v>56967</v>
      </c>
      <c r="F54" s="189">
        <f>SUM(F47:F53)</f>
        <v>4.7517641759671693E-2</v>
      </c>
      <c r="G54" s="185"/>
      <c r="H54" s="184">
        <f>SUM(H47:H53)</f>
        <v>56777</v>
      </c>
      <c r="I54" s="189">
        <f>SUM(I47:I53)</f>
        <v>4.7239253084483519E-2</v>
      </c>
      <c r="J54" s="185"/>
      <c r="K54" s="184">
        <f>SUM(K47:K53)</f>
        <v>56777</v>
      </c>
      <c r="L54" s="189">
        <f>SUM(L47:L53)</f>
        <v>4.7658259298804032E-2</v>
      </c>
    </row>
    <row r="55" spans="2:12" ht="5.0999999999999996" customHeight="1" x14ac:dyDescent="0.2">
      <c r="B55" s="179"/>
      <c r="C55" s="179"/>
      <c r="D55" s="179"/>
      <c r="E55" s="183"/>
      <c r="F55" s="183"/>
      <c r="G55" s="183"/>
      <c r="H55" s="183"/>
      <c r="I55" s="183"/>
      <c r="J55" s="183"/>
      <c r="K55" s="183"/>
      <c r="L55" s="183"/>
    </row>
    <row r="56" spans="2:12" x14ac:dyDescent="0.2">
      <c r="B56" s="182" t="s">
        <v>559</v>
      </c>
      <c r="C56" s="179"/>
      <c r="D56" s="179"/>
      <c r="E56" s="183"/>
      <c r="F56" s="183"/>
      <c r="G56" s="183"/>
      <c r="H56" s="183"/>
      <c r="I56" s="183"/>
      <c r="J56" s="183"/>
      <c r="K56" s="183"/>
      <c r="L56" s="183"/>
    </row>
    <row r="57" spans="2:12" x14ac:dyDescent="0.2">
      <c r="B57" s="179" t="s">
        <v>29</v>
      </c>
      <c r="C57" s="179" t="s">
        <v>580</v>
      </c>
      <c r="D57" s="179"/>
      <c r="E57" s="183">
        <f t="shared" ref="E57:E67" si="15">SUMIF(CFR_Yr1,B57,Exp_Yr1)</f>
        <v>45345</v>
      </c>
      <c r="F57" s="186">
        <f t="shared" ref="F57:F67" si="16">IFERROR(VLOOKUP($B57,Yr1_Percent,10,FALSE),0)</f>
        <v>3.7823432260647619E-2</v>
      </c>
      <c r="G57" s="183"/>
      <c r="H57" s="183">
        <f t="shared" ref="H57:H67" si="17">SUMIF(CFR_Yr2,$B57,Exp_Yr2)</f>
        <v>45345</v>
      </c>
      <c r="I57" s="186">
        <f t="shared" ref="I57:I67" si="18">VLOOKUP($B57,Yr2_Percent,6,FALSE)</f>
        <v>3.7727670203003071E-2</v>
      </c>
      <c r="J57" s="183"/>
      <c r="K57" s="183">
        <f t="shared" ref="K57:K67" si="19">SUMIF(CFR_Yr3,$B57,Exp_Yr3)</f>
        <v>45345</v>
      </c>
      <c r="L57" s="186">
        <f t="shared" ref="L57:L67" si="20">VLOOKUP($B57,Yr3_Percent,6,FALSE)</f>
        <v>3.806230987731421E-2</v>
      </c>
    </row>
    <row r="58" spans="2:12" x14ac:dyDescent="0.2">
      <c r="B58" s="179" t="s">
        <v>30</v>
      </c>
      <c r="C58" s="179" t="s">
        <v>117</v>
      </c>
      <c r="D58" s="179"/>
      <c r="E58" s="183">
        <f t="shared" si="15"/>
        <v>8448</v>
      </c>
      <c r="F58" s="186">
        <f t="shared" si="16"/>
        <v>7.0466943596416594E-3</v>
      </c>
      <c r="G58" s="183"/>
      <c r="H58" s="183">
        <f t="shared" si="17"/>
        <v>8448</v>
      </c>
      <c r="I58" s="186">
        <f t="shared" si="18"/>
        <v>7.0288534099673602E-3</v>
      </c>
      <c r="J58" s="183"/>
      <c r="K58" s="183">
        <f t="shared" si="19"/>
        <v>8448</v>
      </c>
      <c r="L58" s="186">
        <f t="shared" si="20"/>
        <v>7.0911984528294284E-3</v>
      </c>
    </row>
    <row r="59" spans="2:12" x14ac:dyDescent="0.2">
      <c r="B59" s="179" t="s">
        <v>31</v>
      </c>
      <c r="C59" s="179" t="s">
        <v>118</v>
      </c>
      <c r="D59" s="179"/>
      <c r="E59" s="183">
        <f t="shared" si="15"/>
        <v>0</v>
      </c>
      <c r="F59" s="186">
        <f t="shared" si="16"/>
        <v>0</v>
      </c>
      <c r="G59" s="183"/>
      <c r="H59" s="183">
        <f t="shared" si="17"/>
        <v>0</v>
      </c>
      <c r="I59" s="186">
        <f t="shared" si="18"/>
        <v>0</v>
      </c>
      <c r="J59" s="183"/>
      <c r="K59" s="183">
        <f t="shared" si="19"/>
        <v>0</v>
      </c>
      <c r="L59" s="186">
        <f t="shared" si="20"/>
        <v>0</v>
      </c>
    </row>
    <row r="60" spans="2:12" x14ac:dyDescent="0.2">
      <c r="B60" s="179" t="s">
        <v>32</v>
      </c>
      <c r="C60" s="179" t="s">
        <v>119</v>
      </c>
      <c r="D60" s="179"/>
      <c r="E60" s="183">
        <f t="shared" si="15"/>
        <v>7093</v>
      </c>
      <c r="F60" s="186">
        <f t="shared" si="16"/>
        <v>5.9164539645997034E-3</v>
      </c>
      <c r="G60" s="183"/>
      <c r="H60" s="183">
        <f t="shared" si="17"/>
        <v>7093</v>
      </c>
      <c r="I60" s="186">
        <f t="shared" si="18"/>
        <v>5.9014745782313546E-3</v>
      </c>
      <c r="J60" s="183"/>
      <c r="K60" s="183">
        <f t="shared" si="19"/>
        <v>7093</v>
      </c>
      <c r="L60" s="186">
        <f t="shared" si="20"/>
        <v>5.953819913105958E-3</v>
      </c>
    </row>
    <row r="61" spans="2:12" x14ac:dyDescent="0.2">
      <c r="B61" s="179" t="s">
        <v>33</v>
      </c>
      <c r="C61" s="179" t="s">
        <v>120</v>
      </c>
      <c r="D61" s="179"/>
      <c r="E61" s="183">
        <f t="shared" si="15"/>
        <v>5253</v>
      </c>
      <c r="F61" s="186">
        <f t="shared" si="16"/>
        <v>4.3816625794504778E-3</v>
      </c>
      <c r="G61" s="183"/>
      <c r="H61" s="183">
        <f t="shared" si="17"/>
        <v>5253</v>
      </c>
      <c r="I61" s="186">
        <f t="shared" si="18"/>
        <v>4.3705690059846758E-3</v>
      </c>
      <c r="J61" s="183"/>
      <c r="K61" s="183">
        <f t="shared" si="19"/>
        <v>5253</v>
      </c>
      <c r="L61" s="186">
        <f t="shared" si="20"/>
        <v>4.4093354015995491E-3</v>
      </c>
    </row>
    <row r="62" spans="2:12" x14ac:dyDescent="0.2">
      <c r="B62" s="179" t="s">
        <v>34</v>
      </c>
      <c r="C62" s="179" t="s">
        <v>121</v>
      </c>
      <c r="D62" s="179"/>
      <c r="E62" s="183">
        <f t="shared" si="15"/>
        <v>459</v>
      </c>
      <c r="F62" s="186">
        <f t="shared" si="16"/>
        <v>3.8286372053450776E-4</v>
      </c>
      <c r="G62" s="183"/>
      <c r="H62" s="183">
        <f t="shared" si="17"/>
        <v>459</v>
      </c>
      <c r="I62" s="186">
        <f t="shared" si="18"/>
        <v>3.8189437916370957E-4</v>
      </c>
      <c r="J62" s="183"/>
      <c r="K62" s="183">
        <f t="shared" si="19"/>
        <v>459</v>
      </c>
      <c r="L62" s="186">
        <f t="shared" si="20"/>
        <v>3.8528173412034894E-4</v>
      </c>
    </row>
    <row r="63" spans="2:12" x14ac:dyDescent="0.2">
      <c r="B63" s="179" t="s">
        <v>35</v>
      </c>
      <c r="C63" s="179" t="s">
        <v>122</v>
      </c>
      <c r="D63" s="179"/>
      <c r="E63" s="183">
        <f t="shared" si="15"/>
        <v>49232</v>
      </c>
      <c r="F63" s="186">
        <f t="shared" si="16"/>
        <v>4.1065679061775356E-2</v>
      </c>
      <c r="G63" s="183"/>
      <c r="H63" s="183">
        <f t="shared" si="17"/>
        <v>49232</v>
      </c>
      <c r="I63" s="186">
        <f t="shared" si="18"/>
        <v>4.0961708224374178E-2</v>
      </c>
      <c r="J63" s="183"/>
      <c r="K63" s="183">
        <f t="shared" si="19"/>
        <v>49232</v>
      </c>
      <c r="L63" s="186">
        <f t="shared" si="20"/>
        <v>4.1325033407871498E-2</v>
      </c>
    </row>
    <row r="64" spans="2:12" x14ac:dyDescent="0.2">
      <c r="B64" s="179" t="s">
        <v>36</v>
      </c>
      <c r="C64" s="179" t="s">
        <v>123</v>
      </c>
      <c r="D64" s="179"/>
      <c r="E64" s="183">
        <f t="shared" si="15"/>
        <v>64203</v>
      </c>
      <c r="F64" s="186">
        <f t="shared" si="16"/>
        <v>5.3553375706921577E-2</v>
      </c>
      <c r="G64" s="183"/>
      <c r="H64" s="183">
        <f t="shared" si="17"/>
        <v>32217</v>
      </c>
      <c r="I64" s="186">
        <f t="shared" si="18"/>
        <v>2.6804991750582201E-2</v>
      </c>
      <c r="J64" s="183"/>
      <c r="K64" s="183">
        <f t="shared" si="19"/>
        <v>15773</v>
      </c>
      <c r="L64" s="186">
        <f t="shared" si="20"/>
        <v>1.3239757717386195E-2</v>
      </c>
    </row>
    <row r="65" spans="2:12" x14ac:dyDescent="0.2">
      <c r="B65" s="179" t="s">
        <v>37</v>
      </c>
      <c r="C65" s="179" t="s">
        <v>680</v>
      </c>
      <c r="D65" s="179"/>
      <c r="E65" s="183">
        <f t="shared" si="15"/>
        <v>17721</v>
      </c>
      <c r="F65" s="186">
        <f t="shared" si="16"/>
        <v>1.4781542465342076E-2</v>
      </c>
      <c r="G65" s="183"/>
      <c r="H65" s="183">
        <f t="shared" si="17"/>
        <v>17721</v>
      </c>
      <c r="I65" s="186">
        <f t="shared" si="18"/>
        <v>1.4744118285751845E-2</v>
      </c>
      <c r="J65" s="183"/>
      <c r="K65" s="183">
        <f t="shared" si="19"/>
        <v>17721</v>
      </c>
      <c r="L65" s="186">
        <f t="shared" si="20"/>
        <v>1.4874896754567981E-2</v>
      </c>
    </row>
    <row r="66" spans="2:12" x14ac:dyDescent="0.2">
      <c r="B66" s="179" t="s">
        <v>38</v>
      </c>
      <c r="C66" s="179" t="s">
        <v>681</v>
      </c>
      <c r="D66" s="179"/>
      <c r="E66" s="183">
        <f t="shared" si="15"/>
        <v>30944</v>
      </c>
      <c r="F66" s="186">
        <f t="shared" si="16"/>
        <v>2.5811187294596534E-2</v>
      </c>
      <c r="G66" s="183"/>
      <c r="H66" s="183">
        <f t="shared" si="17"/>
        <v>30944</v>
      </c>
      <c r="I66" s="186">
        <f t="shared" si="18"/>
        <v>2.574583805847893E-2</v>
      </c>
      <c r="J66" s="183"/>
      <c r="K66" s="183">
        <f t="shared" si="19"/>
        <v>30944</v>
      </c>
      <c r="L66" s="186">
        <f t="shared" si="20"/>
        <v>2.5974200393507792E-2</v>
      </c>
    </row>
    <row r="67" spans="2:12" x14ac:dyDescent="0.2">
      <c r="B67" s="179" t="s">
        <v>39</v>
      </c>
      <c r="C67" s="179" t="s">
        <v>665</v>
      </c>
      <c r="D67" s="179"/>
      <c r="E67" s="183">
        <f t="shared" si="15"/>
        <v>28129</v>
      </c>
      <c r="F67" s="186">
        <f t="shared" si="16"/>
        <v>2.3463123300468777E-2</v>
      </c>
      <c r="G67" s="183"/>
      <c r="H67" s="183">
        <f t="shared" si="17"/>
        <v>0</v>
      </c>
      <c r="I67" s="186">
        <f t="shared" si="18"/>
        <v>0</v>
      </c>
      <c r="J67" s="183"/>
      <c r="K67" s="183">
        <f t="shared" si="19"/>
        <v>0</v>
      </c>
      <c r="L67" s="186">
        <f t="shared" si="20"/>
        <v>0</v>
      </c>
    </row>
    <row r="68" spans="2:12" x14ac:dyDescent="0.2">
      <c r="B68" s="182" t="s">
        <v>59</v>
      </c>
      <c r="C68" s="179"/>
      <c r="D68" s="179"/>
      <c r="E68" s="184">
        <f>SUM(E57:E67)</f>
        <v>256827</v>
      </c>
      <c r="F68" s="189">
        <f>SUM(F57:F67)</f>
        <v>0.21422601471397829</v>
      </c>
      <c r="G68" s="185"/>
      <c r="H68" s="184">
        <f>SUM(H57:H67)</f>
        <v>196712</v>
      </c>
      <c r="I68" s="189">
        <f>SUM(I57:I67)</f>
        <v>0.16366711789553734</v>
      </c>
      <c r="J68" s="185"/>
      <c r="K68" s="184">
        <f>SUM(K57:K67)</f>
        <v>180268</v>
      </c>
      <c r="L68" s="189">
        <f>SUM(L57:L67)</f>
        <v>0.15131583365230294</v>
      </c>
    </row>
    <row r="69" spans="2:12" ht="5.0999999999999996" customHeight="1" x14ac:dyDescent="0.2">
      <c r="B69" s="179"/>
      <c r="C69" s="179"/>
      <c r="D69" s="179"/>
      <c r="E69" s="183"/>
      <c r="F69" s="183"/>
      <c r="G69" s="183"/>
      <c r="H69" s="183"/>
      <c r="I69" s="183"/>
      <c r="J69" s="183"/>
      <c r="K69" s="183"/>
      <c r="L69" s="179"/>
    </row>
    <row r="70" spans="2:12" ht="12.95" customHeight="1" thickBot="1" x14ac:dyDescent="0.25">
      <c r="B70" s="182" t="s">
        <v>347</v>
      </c>
      <c r="C70" s="179"/>
      <c r="D70" s="179"/>
      <c r="E70" s="190">
        <f>E44+E54+E68</f>
        <v>1239640</v>
      </c>
      <c r="F70" s="243">
        <f>F44+F54+F68</f>
        <v>1.0340156481991225</v>
      </c>
      <c r="G70" s="183"/>
      <c r="H70" s="190">
        <f>H44+H54+H68</f>
        <v>1190562</v>
      </c>
      <c r="I70" s="243">
        <f>I44+I54+I68</f>
        <v>0.99056413038323388</v>
      </c>
      <c r="J70" s="183"/>
      <c r="K70" s="190">
        <f>K44+K54+K68</f>
        <v>1176535</v>
      </c>
      <c r="L70" s="243">
        <f>L44+L54+L68</f>
        <v>0.98757613301369218</v>
      </c>
    </row>
    <row r="71" spans="2:12" ht="6.6" customHeight="1" thickTop="1" x14ac:dyDescent="0.2">
      <c r="B71" s="182"/>
      <c r="C71" s="179"/>
      <c r="D71" s="179"/>
      <c r="E71" s="183"/>
      <c r="F71" s="183"/>
      <c r="G71" s="183"/>
      <c r="H71" s="183"/>
      <c r="I71" s="183"/>
      <c r="J71" s="183"/>
      <c r="K71" s="183"/>
      <c r="L71" s="179"/>
    </row>
    <row r="72" spans="2:12" x14ac:dyDescent="0.2">
      <c r="B72" s="182" t="s">
        <v>579</v>
      </c>
      <c r="C72" s="179"/>
      <c r="D72" s="179"/>
      <c r="E72" s="183"/>
      <c r="F72" s="183"/>
      <c r="G72" s="183"/>
      <c r="H72" s="183"/>
      <c r="I72" s="183"/>
      <c r="J72" s="183"/>
      <c r="K72" s="183"/>
      <c r="L72" s="179"/>
    </row>
    <row r="73" spans="2:12" x14ac:dyDescent="0.2">
      <c r="B73" s="179"/>
      <c r="C73" s="179" t="s">
        <v>676</v>
      </c>
      <c r="D73" s="179"/>
      <c r="E73" s="183">
        <f>E11</f>
        <v>101462</v>
      </c>
      <c r="F73" s="183"/>
      <c r="G73" s="183"/>
      <c r="H73" s="183">
        <f>H11</f>
        <v>84312</v>
      </c>
      <c r="I73" s="183"/>
      <c r="J73" s="183"/>
      <c r="K73" s="183">
        <f>K11</f>
        <v>102453</v>
      </c>
      <c r="L73" s="179"/>
    </row>
    <row r="74" spans="2:12" x14ac:dyDescent="0.2">
      <c r="B74" s="179"/>
      <c r="C74" s="179" t="s">
        <v>594</v>
      </c>
      <c r="D74" s="179"/>
      <c r="E74" s="183">
        <f>E30-E44-E54-E68</f>
        <v>-17150</v>
      </c>
      <c r="F74" s="183"/>
      <c r="G74" s="183"/>
      <c r="H74" s="183">
        <f>H30-H44-H54-H68</f>
        <v>18141</v>
      </c>
      <c r="I74" s="183"/>
      <c r="J74" s="183"/>
      <c r="K74" s="183">
        <f>K30-K44-K54-K68</f>
        <v>21601</v>
      </c>
      <c r="L74" s="179"/>
    </row>
    <row r="75" spans="2:12" ht="13.5" thickBot="1" x14ac:dyDescent="0.25">
      <c r="B75" s="179" t="s">
        <v>666</v>
      </c>
      <c r="C75" s="182" t="s">
        <v>672</v>
      </c>
      <c r="D75" s="179"/>
      <c r="E75" s="190">
        <f>SUM(E73:E74)</f>
        <v>84312</v>
      </c>
      <c r="F75" s="185"/>
      <c r="G75" s="185"/>
      <c r="H75" s="190">
        <f>SUM(H73:H74)</f>
        <v>102453</v>
      </c>
      <c r="I75" s="185"/>
      <c r="J75" s="183"/>
      <c r="K75" s="190">
        <f>SUM(K73:K74)</f>
        <v>124054</v>
      </c>
      <c r="L75" s="179"/>
    </row>
    <row r="76" spans="2:12" ht="14.25" thickTop="1" thickBot="1" x14ac:dyDescent="0.25">
      <c r="B76" s="179"/>
      <c r="C76" s="182" t="s">
        <v>787</v>
      </c>
      <c r="D76" s="179"/>
      <c r="E76" s="220">
        <f>IF(OR(E11=0,E74=0),0,IF(AND(E11&gt;0,E74&gt;0),(E74/E11),IF(AND(E11&gt;0,E74&lt;0),(E74/E11),IF(AND(E11&lt;0,E74&lt;0),(-E74/E11),IF(AND(E11&lt;0,E74&gt;0),(-E74/E11))))))</f>
        <v>-0.16902879895921627</v>
      </c>
      <c r="F76" s="185"/>
      <c r="G76" s="185"/>
      <c r="H76" s="220">
        <f>IF(OR(H11=0,H74=0),0,IF(AND(H11&gt;0,H74&gt;0),(H74/H11),IF(AND(H11&gt;0,H74&lt;0),(H74/H11),IF(AND(H11&lt;0,H74&lt;0),(-H74/H11),IF(AND(H11&lt;0,H74&gt;0),(-H74/H11))))))</f>
        <v>0.21516510105323086</v>
      </c>
      <c r="I76" s="185"/>
      <c r="J76" s="183"/>
      <c r="K76" s="220">
        <f>IF(OR(K11=0,K74=0),0,IF(AND(K11&gt;0,K74&gt;0),(K74/K11),IF(AND(K11&gt;0,K74&lt;0),(K74/K11),IF(AND(K11&lt;0,K74&lt;0),(-K74/K11),IF(AND(K11&lt;0,K74&gt;0),(-K74/K11))))))</f>
        <v>0.2108381404156052</v>
      </c>
      <c r="L76" s="179"/>
    </row>
    <row r="77" spans="2:12" ht="13.5" thickTop="1" x14ac:dyDescent="0.2">
      <c r="B77" s="191" t="s">
        <v>53</v>
      </c>
      <c r="C77" s="191" t="s">
        <v>670</v>
      </c>
      <c r="D77" s="179"/>
      <c r="E77" s="192">
        <f>SUMIF(CFR_Yr1,$B77,Exp_Yr1)</f>
        <v>0</v>
      </c>
      <c r="F77" s="185"/>
      <c r="G77" s="185"/>
      <c r="H77" s="192">
        <f>SUMIF(CFR_Yr2,$B77,Exp_Yr2)</f>
        <v>10000</v>
      </c>
      <c r="I77" s="185"/>
      <c r="J77" s="183"/>
      <c r="K77" s="192">
        <f>SUMIF(CFR_Yr3,$B77,Exp_Yr3)</f>
        <v>0</v>
      </c>
      <c r="L77" s="179"/>
    </row>
    <row r="78" spans="2:12" x14ac:dyDescent="0.2">
      <c r="B78" s="191" t="s">
        <v>54</v>
      </c>
      <c r="C78" s="191" t="s">
        <v>671</v>
      </c>
      <c r="D78" s="179"/>
      <c r="E78" s="192">
        <f>SUMIF(CFR_Yr1,$B78,Exp_Yr1)</f>
        <v>84312</v>
      </c>
      <c r="F78" s="185"/>
      <c r="G78" s="185"/>
      <c r="H78" s="192">
        <f>SUMIF(CFR_Yr2,$B78,Exp_Yr2)</f>
        <v>92453</v>
      </c>
      <c r="I78" s="185"/>
      <c r="J78" s="183"/>
      <c r="K78" s="192">
        <f>SUMIF(CFR_Yr3,$B78,Exp_Yr3)</f>
        <v>124054</v>
      </c>
      <c r="L78" s="179"/>
    </row>
    <row r="79" spans="2:12" x14ac:dyDescent="0.2">
      <c r="B79" s="191"/>
      <c r="C79" s="191" t="s">
        <v>673</v>
      </c>
      <c r="D79" s="179"/>
      <c r="E79" s="193">
        <f>SUM(E77:E78)</f>
        <v>84312</v>
      </c>
      <c r="F79" s="185"/>
      <c r="G79" s="185"/>
      <c r="H79" s="193">
        <f>SUM(H77:H78)</f>
        <v>102453</v>
      </c>
      <c r="I79" s="185"/>
      <c r="J79" s="183"/>
      <c r="K79" s="193">
        <f>SUM(K77:K78)</f>
        <v>124054</v>
      </c>
      <c r="L79" s="179"/>
    </row>
    <row r="80" spans="2:12" ht="13.5" thickBot="1" x14ac:dyDescent="0.25">
      <c r="B80" s="182"/>
      <c r="C80" s="191"/>
      <c r="D80" s="179"/>
      <c r="E80" s="193"/>
      <c r="F80" s="185"/>
      <c r="G80" s="185"/>
      <c r="H80" s="185"/>
      <c r="I80" s="185"/>
      <c r="J80" s="183"/>
      <c r="K80" s="185"/>
      <c r="L80" s="179"/>
    </row>
    <row r="81" spans="2:12" x14ac:dyDescent="0.2">
      <c r="B81" s="194"/>
      <c r="C81" s="194"/>
      <c r="D81" s="194"/>
      <c r="E81" s="195"/>
      <c r="F81" s="195"/>
      <c r="G81" s="195"/>
      <c r="H81" s="195"/>
      <c r="I81" s="195"/>
      <c r="J81" s="195"/>
      <c r="K81" s="195"/>
      <c r="L81" s="179"/>
    </row>
    <row r="82" spans="2:12" ht="15" x14ac:dyDescent="0.25">
      <c r="B82" s="198" t="s">
        <v>596</v>
      </c>
      <c r="C82" s="179"/>
      <c r="D82" s="179"/>
      <c r="E82" s="183"/>
      <c r="F82" s="183"/>
      <c r="G82" s="183"/>
      <c r="H82" s="183"/>
      <c r="I82" s="183"/>
      <c r="J82" s="183"/>
      <c r="K82" s="183"/>
      <c r="L82" s="179"/>
    </row>
    <row r="83" spans="2:12" x14ac:dyDescent="0.2">
      <c r="B83" s="182" t="s">
        <v>576</v>
      </c>
      <c r="C83" s="179"/>
      <c r="D83" s="179"/>
      <c r="E83" s="183"/>
      <c r="F83" s="183"/>
      <c r="G83" s="183"/>
      <c r="H83" s="183"/>
      <c r="I83" s="183"/>
      <c r="J83" s="183"/>
      <c r="K83" s="183"/>
      <c r="L83" s="179"/>
    </row>
    <row r="84" spans="2:12" x14ac:dyDescent="0.2">
      <c r="B84" s="179" t="s">
        <v>512</v>
      </c>
      <c r="C84" s="179" t="s">
        <v>581</v>
      </c>
      <c r="D84" s="179"/>
      <c r="E84" s="183">
        <f>SUMIF(CFR_Yr1,B84,Exp_Yr1)</f>
        <v>171000</v>
      </c>
      <c r="F84" s="183"/>
      <c r="G84" s="183"/>
      <c r="H84" s="183">
        <f>SUMIF(CFR_Yr2,$B84,Exp_Yr2)</f>
        <v>195824</v>
      </c>
      <c r="I84" s="183"/>
      <c r="J84" s="183"/>
      <c r="K84" s="183">
        <f>SUMIF(CFR_Yr3,$B84,Exp_Yr3)</f>
        <v>250577</v>
      </c>
      <c r="L84" s="179"/>
    </row>
    <row r="85" spans="2:12" x14ac:dyDescent="0.2">
      <c r="B85" s="179" t="s">
        <v>540</v>
      </c>
      <c r="C85" s="179" t="s">
        <v>582</v>
      </c>
      <c r="D85" s="179"/>
      <c r="E85" s="183">
        <f>SUMIF(CFR_Yr1,B85,Exp_Yr1)</f>
        <v>-28129</v>
      </c>
      <c r="F85" s="183"/>
      <c r="G85" s="183"/>
      <c r="H85" s="183">
        <f>SUMIF(CFR_Yr2,$B85,Exp_Yr2)</f>
        <v>0</v>
      </c>
      <c r="I85" s="183"/>
      <c r="J85" s="183"/>
      <c r="K85" s="183">
        <f>SUMIF(CFR_Yr3,$B85,Exp_Yr3)</f>
        <v>0</v>
      </c>
      <c r="L85" s="179"/>
    </row>
    <row r="86" spans="2:12" x14ac:dyDescent="0.2">
      <c r="B86" s="182" t="s">
        <v>59</v>
      </c>
      <c r="C86" s="179"/>
      <c r="D86" s="179"/>
      <c r="E86" s="184">
        <f>SUM(E84:E85)</f>
        <v>142871</v>
      </c>
      <c r="F86" s="185"/>
      <c r="G86" s="185"/>
      <c r="H86" s="184">
        <f>SUM(H84:H85)</f>
        <v>195824</v>
      </c>
      <c r="I86" s="185"/>
      <c r="J86" s="185"/>
      <c r="K86" s="184">
        <f>SUM(K84:K85)</f>
        <v>250577</v>
      </c>
      <c r="L86" s="179"/>
    </row>
    <row r="87" spans="2:12" ht="5.0999999999999996" customHeight="1" x14ac:dyDescent="0.2">
      <c r="B87" s="179"/>
      <c r="C87" s="179"/>
      <c r="D87" s="179"/>
      <c r="E87" s="183"/>
      <c r="F87" s="183"/>
      <c r="G87" s="183"/>
      <c r="H87" s="183"/>
      <c r="I87" s="183"/>
      <c r="J87" s="183"/>
      <c r="K87" s="183"/>
      <c r="L87" s="179"/>
    </row>
    <row r="88" spans="2:12" x14ac:dyDescent="0.2">
      <c r="B88" s="182" t="s">
        <v>577</v>
      </c>
      <c r="C88" s="179"/>
      <c r="D88" s="179"/>
      <c r="E88" s="183"/>
      <c r="F88" s="183"/>
      <c r="G88" s="183"/>
      <c r="H88" s="183"/>
      <c r="I88" s="183"/>
      <c r="J88" s="183"/>
      <c r="K88" s="183"/>
      <c r="L88" s="179"/>
    </row>
    <row r="89" spans="2:12" x14ac:dyDescent="0.2">
      <c r="B89" s="179" t="s">
        <v>64</v>
      </c>
      <c r="C89" s="179" t="s">
        <v>682</v>
      </c>
      <c r="D89" s="179"/>
      <c r="E89" s="183">
        <f>SUMIF(CFR_Yr1,B89,Exp_Yr1)</f>
        <v>0</v>
      </c>
      <c r="F89" s="183"/>
      <c r="G89" s="183"/>
      <c r="H89" s="183">
        <f>SUMIF(CFR_Yr2,$B89,Exp_Yr2)</f>
        <v>0</v>
      </c>
      <c r="I89" s="183"/>
      <c r="J89" s="183"/>
      <c r="K89" s="183">
        <f>SUMIF(CFR_Yr3,$B89,Exp_Yr3)</f>
        <v>0</v>
      </c>
      <c r="L89" s="179"/>
    </row>
    <row r="90" spans="2:12" x14ac:dyDescent="0.2">
      <c r="B90" s="179" t="s">
        <v>66</v>
      </c>
      <c r="C90" s="179" t="s">
        <v>683</v>
      </c>
      <c r="D90" s="179"/>
      <c r="E90" s="183">
        <f>SUMIF(CFR_Yr1,B90,Exp_Yr1)</f>
        <v>128049</v>
      </c>
      <c r="F90" s="183"/>
      <c r="G90" s="183"/>
      <c r="H90" s="183">
        <f>SUMIF(CFR_Yr2,$B90,Exp_Yr2)</f>
        <v>130609</v>
      </c>
      <c r="I90" s="183"/>
      <c r="J90" s="183"/>
      <c r="K90" s="183">
        <f>SUMIF(CFR_Yr3,$B90,Exp_Yr3)</f>
        <v>133221</v>
      </c>
      <c r="L90" s="179"/>
    </row>
    <row r="91" spans="2:12" x14ac:dyDescent="0.2">
      <c r="B91" s="182" t="s">
        <v>59</v>
      </c>
      <c r="C91" s="179"/>
      <c r="D91" s="179"/>
      <c r="E91" s="184">
        <f>SUM(E89:E90)</f>
        <v>128049</v>
      </c>
      <c r="F91" s="185"/>
      <c r="G91" s="185"/>
      <c r="H91" s="184">
        <f>SUM(H89:H90)</f>
        <v>130609</v>
      </c>
      <c r="I91" s="185"/>
      <c r="J91" s="185"/>
      <c r="K91" s="184">
        <f>SUM(K89:K90)</f>
        <v>133221</v>
      </c>
      <c r="L91" s="179"/>
    </row>
    <row r="92" spans="2:12" ht="5.0999999999999996" customHeight="1" x14ac:dyDescent="0.2">
      <c r="B92" s="179"/>
      <c r="C92" s="179"/>
      <c r="D92" s="179"/>
      <c r="E92" s="183"/>
      <c r="F92" s="183"/>
      <c r="G92" s="183"/>
      <c r="H92" s="183"/>
      <c r="I92" s="183"/>
      <c r="J92" s="183"/>
      <c r="K92" s="183"/>
      <c r="L92" s="179"/>
    </row>
    <row r="93" spans="2:12" x14ac:dyDescent="0.2">
      <c r="B93" s="182" t="s">
        <v>578</v>
      </c>
      <c r="C93" s="179"/>
      <c r="D93" s="179"/>
      <c r="E93" s="183"/>
      <c r="F93" s="183"/>
      <c r="G93" s="183"/>
      <c r="H93" s="183"/>
      <c r="I93" s="183"/>
      <c r="J93" s="183"/>
      <c r="K93" s="183"/>
      <c r="L93" s="179"/>
    </row>
    <row r="94" spans="2:12" x14ac:dyDescent="0.2">
      <c r="B94" s="179" t="s">
        <v>61</v>
      </c>
      <c r="C94" s="179" t="s">
        <v>318</v>
      </c>
      <c r="D94" s="179"/>
      <c r="E94" s="183">
        <f>SUMIF(CFR_Yr1,B94,Exp_Yr1)</f>
        <v>64263</v>
      </c>
      <c r="F94" s="183"/>
      <c r="G94" s="183"/>
      <c r="H94" s="183">
        <f>SUMIF(CFR_Yr2,$B94,Exp_Yr2)</f>
        <v>64846</v>
      </c>
      <c r="I94" s="183"/>
      <c r="J94" s="183"/>
      <c r="K94" s="183">
        <f>SUMIF(CFR_Yr3,$B94,Exp_Yr3)</f>
        <v>65136</v>
      </c>
      <c r="L94" s="179"/>
    </row>
    <row r="95" spans="2:12" x14ac:dyDescent="0.2">
      <c r="B95" s="179" t="s">
        <v>62</v>
      </c>
      <c r="C95" s="179" t="s">
        <v>319</v>
      </c>
      <c r="D95" s="179"/>
      <c r="E95" s="183">
        <f>SUMIF(CFR_Yr1,B95,Exp_Yr1)</f>
        <v>10833</v>
      </c>
      <c r="F95" s="183"/>
      <c r="G95" s="183"/>
      <c r="H95" s="183">
        <f>SUMIF(CFR_Yr2,$B95,Exp_Yr2)</f>
        <v>11010</v>
      </c>
      <c r="I95" s="183"/>
      <c r="J95" s="183"/>
      <c r="K95" s="183">
        <f>SUMIF(CFR_Yr3,$B95,Exp_Yr3)</f>
        <v>11720</v>
      </c>
      <c r="L95" s="179"/>
    </row>
    <row r="96" spans="2:12" x14ac:dyDescent="0.2">
      <c r="B96" s="182" t="s">
        <v>59</v>
      </c>
      <c r="C96" s="179"/>
      <c r="D96" s="179"/>
      <c r="E96" s="184">
        <f>SUM(E94:E95)</f>
        <v>75096</v>
      </c>
      <c r="F96" s="185"/>
      <c r="G96" s="185"/>
      <c r="H96" s="184">
        <f>SUM(H94:H95)</f>
        <v>75856</v>
      </c>
      <c r="I96" s="185"/>
      <c r="J96" s="185"/>
      <c r="K96" s="184">
        <f>SUM(K94:K95)</f>
        <v>76856</v>
      </c>
      <c r="L96" s="179"/>
    </row>
    <row r="97" spans="2:12" ht="5.0999999999999996" customHeight="1" x14ac:dyDescent="0.2">
      <c r="B97" s="182"/>
      <c r="C97" s="179"/>
      <c r="D97" s="179"/>
      <c r="E97" s="183"/>
      <c r="F97" s="183"/>
      <c r="G97" s="183"/>
      <c r="H97" s="183"/>
      <c r="I97" s="183"/>
      <c r="J97" s="183"/>
      <c r="K97" s="183"/>
      <c r="L97" s="179"/>
    </row>
    <row r="98" spans="2:12" x14ac:dyDescent="0.2">
      <c r="B98" s="182" t="s">
        <v>584</v>
      </c>
      <c r="C98" s="179"/>
      <c r="D98" s="179"/>
      <c r="E98" s="183"/>
      <c r="F98" s="183"/>
      <c r="G98" s="183"/>
      <c r="H98" s="183"/>
      <c r="I98" s="183"/>
      <c r="J98" s="183"/>
      <c r="K98" s="183"/>
      <c r="L98" s="179"/>
    </row>
    <row r="99" spans="2:12" x14ac:dyDescent="0.2">
      <c r="B99" s="179"/>
      <c r="C99" s="179" t="s">
        <v>676</v>
      </c>
      <c r="D99" s="179"/>
      <c r="E99" s="183">
        <f>E86</f>
        <v>142871</v>
      </c>
      <c r="F99" s="183"/>
      <c r="G99" s="183"/>
      <c r="H99" s="183">
        <f>H86</f>
        <v>195824</v>
      </c>
      <c r="I99" s="183"/>
      <c r="J99" s="183"/>
      <c r="K99" s="183">
        <f>K86</f>
        <v>250577</v>
      </c>
      <c r="L99" s="179"/>
    </row>
    <row r="100" spans="2:12" x14ac:dyDescent="0.2">
      <c r="B100" s="179"/>
      <c r="C100" s="179" t="s">
        <v>594</v>
      </c>
      <c r="D100" s="179"/>
      <c r="E100" s="183">
        <f>E91-E96</f>
        <v>52953</v>
      </c>
      <c r="F100" s="183"/>
      <c r="G100" s="183"/>
      <c r="H100" s="183">
        <f>H91-H96</f>
        <v>54753</v>
      </c>
      <c r="I100" s="183"/>
      <c r="J100" s="183"/>
      <c r="K100" s="183">
        <f>K91-K96</f>
        <v>56365</v>
      </c>
      <c r="L100" s="179"/>
    </row>
    <row r="101" spans="2:12" ht="13.5" thickBot="1" x14ac:dyDescent="0.25">
      <c r="B101" s="179" t="s">
        <v>65</v>
      </c>
      <c r="C101" s="182" t="s">
        <v>361</v>
      </c>
      <c r="D101" s="179"/>
      <c r="E101" s="190">
        <f>SUMIF(CFR_Yr1,B101,Exp_Yr1)</f>
        <v>195824</v>
      </c>
      <c r="F101" s="185"/>
      <c r="G101" s="185"/>
      <c r="H101" s="190">
        <f>SUMIF(CFR_Yr2,$B101,Exp_Yr2)</f>
        <v>250577</v>
      </c>
      <c r="I101" s="185"/>
      <c r="J101" s="185"/>
      <c r="K101" s="190">
        <f>SUMIF(CFR_Yr3,$B101,Exp_Yr3)</f>
        <v>306942</v>
      </c>
      <c r="L101" s="179"/>
    </row>
    <row r="102" spans="2:12" ht="14.25" thickTop="1" thickBot="1" x14ac:dyDescent="0.25">
      <c r="B102" s="179"/>
      <c r="C102" s="179"/>
      <c r="D102" s="179"/>
      <c r="E102" s="183"/>
      <c r="F102" s="183"/>
      <c r="G102" s="183"/>
      <c r="H102" s="183"/>
      <c r="I102" s="183"/>
      <c r="J102" s="183"/>
      <c r="K102" s="183"/>
      <c r="L102" s="179"/>
    </row>
    <row r="103" spans="2:12" x14ac:dyDescent="0.2">
      <c r="B103" s="194"/>
      <c r="C103" s="194"/>
      <c r="D103" s="194"/>
      <c r="E103" s="195"/>
      <c r="F103" s="195"/>
      <c r="G103" s="195"/>
      <c r="H103" s="195"/>
      <c r="I103" s="195"/>
      <c r="J103" s="195"/>
      <c r="K103" s="195"/>
      <c r="L103" s="179"/>
    </row>
    <row r="104" spans="2:12" ht="15" x14ac:dyDescent="0.25">
      <c r="B104" s="198" t="s">
        <v>597</v>
      </c>
      <c r="C104" s="179"/>
      <c r="D104" s="179"/>
      <c r="E104" s="196"/>
      <c r="F104" s="196"/>
      <c r="G104" s="196"/>
      <c r="H104" s="196"/>
      <c r="I104" s="196"/>
      <c r="J104" s="196"/>
      <c r="K104" s="196"/>
      <c r="L104" s="179"/>
    </row>
    <row r="105" spans="2:12" x14ac:dyDescent="0.2">
      <c r="B105" s="182" t="s">
        <v>585</v>
      </c>
      <c r="C105" s="179"/>
      <c r="D105" s="179"/>
      <c r="E105" s="183"/>
      <c r="F105" s="183"/>
      <c r="G105" s="183"/>
      <c r="H105" s="183"/>
      <c r="I105" s="183"/>
      <c r="J105" s="183"/>
      <c r="K105" s="183"/>
      <c r="L105" s="179"/>
    </row>
    <row r="106" spans="2:12" ht="12.75" customHeight="1" x14ac:dyDescent="0.2">
      <c r="B106" s="179" t="s">
        <v>543</v>
      </c>
      <c r="C106" s="179" t="s">
        <v>390</v>
      </c>
      <c r="D106" s="179"/>
      <c r="E106" s="183">
        <f>SUMIF(CFR_Yr1,B106,Exp_Yr1)</f>
        <v>0</v>
      </c>
      <c r="F106" s="183"/>
      <c r="G106" s="183"/>
      <c r="H106" s="183">
        <f>SUMIF(CFR_Yr2,$B106,Exp_Yr2)</f>
        <v>0</v>
      </c>
      <c r="I106" s="183"/>
      <c r="J106" s="183"/>
      <c r="K106" s="183">
        <f>SUMIF(CFR_Yr3,$B106,Exp_Yr3)</f>
        <v>0</v>
      </c>
      <c r="L106" s="179"/>
    </row>
    <row r="107" spans="2:12" x14ac:dyDescent="0.2">
      <c r="B107" s="179" t="s">
        <v>544</v>
      </c>
      <c r="C107" s="179" t="s">
        <v>338</v>
      </c>
      <c r="D107" s="179"/>
      <c r="E107" s="183">
        <f>SUMIF(CFR_Yr1,B107,Exp_Yr1)</f>
        <v>0</v>
      </c>
      <c r="F107" s="183"/>
      <c r="G107" s="183"/>
      <c r="H107" s="183">
        <f>SUMIF(CFR_Yr2,$B107,Exp_Yr2)</f>
        <v>0</v>
      </c>
      <c r="I107" s="183"/>
      <c r="J107" s="183"/>
      <c r="K107" s="183">
        <f>SUMIF(CFR_Yr3,$B107,Exp_Yr3)</f>
        <v>0</v>
      </c>
      <c r="L107" s="179"/>
    </row>
    <row r="108" spans="2:12" x14ac:dyDescent="0.2">
      <c r="B108" s="182" t="s">
        <v>59</v>
      </c>
      <c r="C108" s="179"/>
      <c r="D108" s="179"/>
      <c r="E108" s="184">
        <f>SUM(E106:E107)</f>
        <v>0</v>
      </c>
      <c r="F108" s="185"/>
      <c r="G108" s="185"/>
      <c r="H108" s="184">
        <f>SUM(H106:H107)</f>
        <v>0</v>
      </c>
      <c r="I108" s="185"/>
      <c r="J108" s="185"/>
      <c r="K108" s="184">
        <f>SUM(K106:K107)</f>
        <v>0</v>
      </c>
      <c r="L108" s="179"/>
    </row>
    <row r="109" spans="2:12" ht="5.0999999999999996" customHeight="1" x14ac:dyDescent="0.2">
      <c r="B109" s="182"/>
      <c r="C109" s="179"/>
      <c r="D109" s="179"/>
      <c r="E109" s="185"/>
      <c r="F109" s="185"/>
      <c r="G109" s="185"/>
      <c r="H109" s="185"/>
      <c r="I109" s="185"/>
      <c r="J109" s="185"/>
      <c r="K109" s="185"/>
      <c r="L109" s="179"/>
    </row>
    <row r="110" spans="2:12" x14ac:dyDescent="0.2">
      <c r="B110" s="182" t="s">
        <v>586</v>
      </c>
      <c r="C110" s="179"/>
      <c r="D110" s="179"/>
      <c r="E110" s="183"/>
      <c r="F110" s="183"/>
      <c r="G110" s="183"/>
      <c r="H110" s="183"/>
      <c r="I110" s="183"/>
      <c r="J110" s="183"/>
      <c r="K110" s="183"/>
      <c r="L110" s="179"/>
    </row>
    <row r="111" spans="2:12" x14ac:dyDescent="0.2">
      <c r="B111" s="179" t="s">
        <v>43</v>
      </c>
      <c r="C111" s="179" t="s">
        <v>587</v>
      </c>
      <c r="D111" s="179"/>
      <c r="E111" s="183">
        <f>SUMIF(CFR_Yr1,B111,Exp_Yr1)</f>
        <v>0</v>
      </c>
      <c r="F111" s="183"/>
      <c r="G111" s="183"/>
      <c r="H111" s="183">
        <f>SUMIF(CFR_Yr2,$B111,Exp_Yr2)</f>
        <v>0</v>
      </c>
      <c r="I111" s="183"/>
      <c r="J111" s="183"/>
      <c r="K111" s="183">
        <f>SUMIF(CFR_Yr3,$B111,Exp_Yr3)</f>
        <v>0</v>
      </c>
      <c r="L111" s="179"/>
    </row>
    <row r="112" spans="2:12" x14ac:dyDescent="0.2">
      <c r="B112" s="179" t="s">
        <v>44</v>
      </c>
      <c r="C112" s="179" t="s">
        <v>588</v>
      </c>
      <c r="D112" s="179"/>
      <c r="E112" s="183">
        <f>SUMIF(CFR_Yr1,B112,Exp_Yr1)</f>
        <v>0</v>
      </c>
      <c r="F112" s="183"/>
      <c r="G112" s="183"/>
      <c r="H112" s="183">
        <f>SUMIF(CFR_Yr2,$B112,Exp_Yr2)</f>
        <v>0</v>
      </c>
      <c r="I112" s="183"/>
      <c r="J112" s="183"/>
      <c r="K112" s="183">
        <f>SUMIF(CFR_Yr3,$B112,Exp_Yr3)</f>
        <v>0</v>
      </c>
      <c r="L112" s="179"/>
    </row>
    <row r="113" spans="2:12" x14ac:dyDescent="0.2">
      <c r="B113" s="179" t="s">
        <v>45</v>
      </c>
      <c r="C113" s="179" t="s">
        <v>665</v>
      </c>
      <c r="D113" s="179"/>
      <c r="E113" s="183">
        <f>SUMIF(CFR_Yr1,B113,Exp_Yr1)</f>
        <v>28129</v>
      </c>
      <c r="F113" s="183"/>
      <c r="G113" s="183"/>
      <c r="H113" s="183">
        <f>SUMIF(CFR_Yr2,$B113,Exp_Yr2)</f>
        <v>0</v>
      </c>
      <c r="I113" s="183"/>
      <c r="J113" s="183"/>
      <c r="K113" s="183">
        <f>SUMIF(CFR_Yr3,$B113,Exp_Yr3)</f>
        <v>0</v>
      </c>
      <c r="L113" s="179"/>
    </row>
    <row r="114" spans="2:12" x14ac:dyDescent="0.2">
      <c r="B114" s="182" t="s">
        <v>59</v>
      </c>
      <c r="C114" s="179"/>
      <c r="D114" s="179"/>
      <c r="E114" s="184">
        <f>SUM(E111:E113)</f>
        <v>28129</v>
      </c>
      <c r="F114" s="185"/>
      <c r="G114" s="185"/>
      <c r="H114" s="184">
        <f>SUM(H111:H113)</f>
        <v>0</v>
      </c>
      <c r="I114" s="185"/>
      <c r="J114" s="185"/>
      <c r="K114" s="184">
        <f>SUM(K111:K113)</f>
        <v>0</v>
      </c>
      <c r="L114" s="179"/>
    </row>
    <row r="115" spans="2:12" ht="5.0999999999999996" customHeight="1" x14ac:dyDescent="0.2">
      <c r="B115" s="179"/>
      <c r="C115" s="179"/>
      <c r="D115" s="179"/>
      <c r="E115" s="183"/>
      <c r="F115" s="183"/>
      <c r="G115" s="183"/>
      <c r="H115" s="183"/>
      <c r="I115" s="183"/>
      <c r="J115" s="183"/>
      <c r="K115" s="183"/>
      <c r="L115" s="179"/>
    </row>
    <row r="116" spans="2:12" x14ac:dyDescent="0.2">
      <c r="B116" s="182" t="s">
        <v>369</v>
      </c>
      <c r="C116" s="179"/>
      <c r="D116" s="179"/>
      <c r="E116" s="183"/>
      <c r="F116" s="183"/>
      <c r="G116" s="183"/>
      <c r="H116" s="183"/>
      <c r="I116" s="183"/>
      <c r="J116" s="183"/>
      <c r="K116" s="183"/>
      <c r="L116" s="179"/>
    </row>
    <row r="117" spans="2:12" x14ac:dyDescent="0.2">
      <c r="B117" s="179" t="s">
        <v>46</v>
      </c>
      <c r="C117" s="179" t="s">
        <v>589</v>
      </c>
      <c r="D117" s="179"/>
      <c r="E117" s="183">
        <f>SUMIF(CFR_Yr1,B117,Exp_Yr1)</f>
        <v>0</v>
      </c>
      <c r="F117" s="183"/>
      <c r="G117" s="183"/>
      <c r="H117" s="183">
        <f>SUMIF(CFR_Yr2,$B117,Exp_Yr2)</f>
        <v>0</v>
      </c>
      <c r="I117" s="183"/>
      <c r="J117" s="183"/>
      <c r="K117" s="183">
        <f>SUMIF(CFR_Yr3,$B117,Exp_Yr3)</f>
        <v>0</v>
      </c>
      <c r="L117" s="179"/>
    </row>
    <row r="118" spans="2:12" x14ac:dyDescent="0.2">
      <c r="B118" s="179" t="s">
        <v>48</v>
      </c>
      <c r="C118" s="179" t="s">
        <v>590</v>
      </c>
      <c r="D118" s="179"/>
      <c r="E118" s="183">
        <f>SUMIF(CFR_Yr1,B118,Exp_Yr1)</f>
        <v>28129</v>
      </c>
      <c r="F118" s="183"/>
      <c r="G118" s="183"/>
      <c r="H118" s="183">
        <f>SUMIF(CFR_Yr2,$B118,Exp_Yr2)</f>
        <v>0</v>
      </c>
      <c r="I118" s="183"/>
      <c r="J118" s="183"/>
      <c r="K118" s="183">
        <f>SUMIF(CFR_Yr3,$B118,Exp_Yr3)</f>
        <v>0</v>
      </c>
      <c r="L118" s="179"/>
    </row>
    <row r="119" spans="2:12" x14ac:dyDescent="0.2">
      <c r="B119" s="179" t="s">
        <v>50</v>
      </c>
      <c r="C119" s="179" t="s">
        <v>591</v>
      </c>
      <c r="D119" s="179"/>
      <c r="E119" s="183">
        <f>SUMIF(CFR_Yr1,B119,Exp_Yr1)</f>
        <v>0</v>
      </c>
      <c r="F119" s="183"/>
      <c r="G119" s="183"/>
      <c r="H119" s="183">
        <f>SUMIF(CFR_Yr2,$B119,Exp_Yr2)</f>
        <v>0</v>
      </c>
      <c r="I119" s="183"/>
      <c r="J119" s="183"/>
      <c r="K119" s="183">
        <f>SUMIF(CFR_Yr3,$B119,Exp_Yr3)</f>
        <v>0</v>
      </c>
      <c r="L119" s="179"/>
    </row>
    <row r="120" spans="2:12" x14ac:dyDescent="0.2">
      <c r="B120" s="179" t="s">
        <v>51</v>
      </c>
      <c r="C120" s="179" t="s">
        <v>592</v>
      </c>
      <c r="D120" s="179"/>
      <c r="E120" s="183">
        <f>SUMIF(CFR_Yr1,B120,Exp_Yr1)</f>
        <v>0</v>
      </c>
      <c r="F120" s="183"/>
      <c r="G120" s="183"/>
      <c r="H120" s="183">
        <f>SUMIF(CFR_Yr2,$B120,Exp_Yr2)</f>
        <v>0</v>
      </c>
      <c r="I120" s="183"/>
      <c r="J120" s="183"/>
      <c r="K120" s="183">
        <f>SUMIF(CFR_Yr3,$B120,Exp_Yr3)</f>
        <v>0</v>
      </c>
      <c r="L120" s="179"/>
    </row>
    <row r="121" spans="2:12" x14ac:dyDescent="0.2">
      <c r="B121" s="182" t="s">
        <v>59</v>
      </c>
      <c r="C121" s="179"/>
      <c r="D121" s="179"/>
      <c r="E121" s="184">
        <f>SUM(E117:E120)</f>
        <v>28129</v>
      </c>
      <c r="F121" s="185"/>
      <c r="G121" s="185"/>
      <c r="H121" s="184">
        <f>SUM(H117:H120)</f>
        <v>0</v>
      </c>
      <c r="I121" s="185"/>
      <c r="J121" s="185"/>
      <c r="K121" s="184">
        <f>SUM(K117:K120)</f>
        <v>0</v>
      </c>
      <c r="L121" s="179"/>
    </row>
    <row r="122" spans="2:12" ht="5.0999999999999996" customHeight="1" x14ac:dyDescent="0.2">
      <c r="B122" s="179"/>
      <c r="C122" s="179"/>
      <c r="D122" s="179"/>
      <c r="E122" s="183"/>
      <c r="F122" s="183"/>
      <c r="G122" s="183"/>
      <c r="H122" s="183"/>
      <c r="I122" s="183"/>
      <c r="J122" s="183"/>
      <c r="K122" s="183"/>
      <c r="L122" s="179"/>
    </row>
    <row r="123" spans="2:12" x14ac:dyDescent="0.2">
      <c r="B123" s="182" t="s">
        <v>593</v>
      </c>
      <c r="C123" s="179"/>
      <c r="D123" s="179"/>
      <c r="E123" s="183"/>
      <c r="F123" s="183"/>
      <c r="G123" s="183"/>
      <c r="H123" s="183"/>
      <c r="I123" s="183"/>
      <c r="J123" s="183"/>
      <c r="K123" s="183"/>
      <c r="L123" s="179"/>
    </row>
    <row r="124" spans="2:12" x14ac:dyDescent="0.2">
      <c r="B124" s="179"/>
      <c r="C124" s="179" t="s">
        <v>676</v>
      </c>
      <c r="D124" s="179"/>
      <c r="E124" s="183">
        <f>E108</f>
        <v>0</v>
      </c>
      <c r="F124" s="183"/>
      <c r="G124" s="183"/>
      <c r="H124" s="183">
        <f>H108</f>
        <v>0</v>
      </c>
      <c r="I124" s="183"/>
      <c r="J124" s="183"/>
      <c r="K124" s="183">
        <f>K108</f>
        <v>0</v>
      </c>
      <c r="L124" s="179"/>
    </row>
    <row r="125" spans="2:12" x14ac:dyDescent="0.2">
      <c r="B125" s="179"/>
      <c r="C125" s="179" t="s">
        <v>594</v>
      </c>
      <c r="D125" s="179"/>
      <c r="E125" s="183">
        <f>E114-E121</f>
        <v>0</v>
      </c>
      <c r="F125" s="183"/>
      <c r="G125" s="183"/>
      <c r="H125" s="183">
        <f>H114-H121</f>
        <v>0</v>
      </c>
      <c r="I125" s="183"/>
      <c r="J125" s="183"/>
      <c r="K125" s="183">
        <f>K114-K121</f>
        <v>0</v>
      </c>
      <c r="L125" s="179"/>
    </row>
    <row r="126" spans="2:12" ht="13.5" thickBot="1" x14ac:dyDescent="0.25">
      <c r="B126" s="179" t="s">
        <v>667</v>
      </c>
      <c r="C126" s="182" t="s">
        <v>673</v>
      </c>
      <c r="D126" s="179"/>
      <c r="E126" s="190">
        <f>SUM(E124:E125)</f>
        <v>0</v>
      </c>
      <c r="F126" s="185"/>
      <c r="G126" s="185"/>
      <c r="H126" s="190">
        <f>SUM(H124:H125)</f>
        <v>0</v>
      </c>
      <c r="I126" s="185"/>
      <c r="J126" s="185"/>
      <c r="K126" s="190">
        <f>SUM(K124:K125)</f>
        <v>0</v>
      </c>
      <c r="L126" s="179"/>
    </row>
    <row r="127" spans="2:12" ht="13.5" thickTop="1" x14ac:dyDescent="0.2">
      <c r="B127" s="179"/>
      <c r="C127" s="179"/>
      <c r="D127" s="179"/>
      <c r="E127" s="179"/>
      <c r="F127" s="179"/>
      <c r="G127" s="179"/>
      <c r="H127" s="179"/>
      <c r="I127" s="179"/>
      <c r="J127" s="179"/>
      <c r="K127" s="179"/>
      <c r="L127" s="179"/>
    </row>
    <row r="128" spans="2:12" x14ac:dyDescent="0.2">
      <c r="B128" s="191" t="s">
        <v>55</v>
      </c>
      <c r="C128" s="191" t="s">
        <v>390</v>
      </c>
      <c r="D128" s="179"/>
      <c r="E128" s="192">
        <f>SUMIF(CFR_Yr1,B128,Exp_Yr1)</f>
        <v>0</v>
      </c>
      <c r="F128" s="179"/>
      <c r="G128" s="179"/>
      <c r="H128" s="192">
        <f>SUMIF(CFR_Yr2,B128,Exp_Yr2)</f>
        <v>0</v>
      </c>
      <c r="I128" s="179"/>
      <c r="J128" s="179"/>
      <c r="K128" s="192">
        <f>SUMIF(CFR_Yr3,B128,Exp_Yr3)</f>
        <v>0</v>
      </c>
      <c r="L128" s="179"/>
    </row>
    <row r="129" spans="2:12" x14ac:dyDescent="0.2">
      <c r="B129" s="191" t="s">
        <v>56</v>
      </c>
      <c r="C129" s="191" t="s">
        <v>674</v>
      </c>
      <c r="D129" s="179"/>
      <c r="E129" s="192">
        <f>SUMIF(CFR_Yr1,B129,Exp_Yr1)</f>
        <v>0</v>
      </c>
      <c r="F129" s="179"/>
      <c r="G129" s="179"/>
      <c r="H129" s="192">
        <f>SUMIF(CFR_Yr2,B129,Exp_Yr2)</f>
        <v>0</v>
      </c>
      <c r="I129" s="179"/>
      <c r="J129" s="179"/>
      <c r="K129" s="192">
        <f>SUMIF(CFR_Yr3,B129,Exp_Yr3)</f>
        <v>0</v>
      </c>
      <c r="L129" s="179"/>
    </row>
    <row r="130" spans="2:12" x14ac:dyDescent="0.2">
      <c r="B130" s="179"/>
      <c r="C130" s="191" t="s">
        <v>673</v>
      </c>
      <c r="D130" s="179"/>
      <c r="E130" s="197">
        <f>SUM(E128:E129)</f>
        <v>0</v>
      </c>
      <c r="F130" s="179"/>
      <c r="G130" s="179"/>
      <c r="H130" s="197">
        <f>SUM(H128:H129)</f>
        <v>0</v>
      </c>
      <c r="I130" s="179"/>
      <c r="J130" s="179"/>
      <c r="K130" s="197">
        <f>SUM(K128:K129)</f>
        <v>0</v>
      </c>
      <c r="L130" s="179"/>
    </row>
  </sheetData>
  <sheetProtection algorithmName="SHA-512" hashValue="7MiLa6ksabIhYKObql0btB52BXUC87f3dsgirDIwKRG8qv3KK+SDUuj3NXW1m1VdwguKRYEqUQfc3Xbt8x40ag==" saltValue="kyfClM3bTPVw1Q5tGMS2Fw==" spinCount="100000" sheet="1" objects="1" scenarios="1"/>
  <mergeCells count="6">
    <mergeCell ref="E3:F3"/>
    <mergeCell ref="E4:F4"/>
    <mergeCell ref="H3:I3"/>
    <mergeCell ref="H4:I4"/>
    <mergeCell ref="K3:L3"/>
    <mergeCell ref="K4:L4"/>
  </mergeCells>
  <pageMargins left="0.19685039370078741" right="0.11811023622047245" top="0.51181102362204722" bottom="0.15748031496062992" header="0.15748031496062992" footer="0.15748031496062992"/>
  <pageSetup paperSize="9" fitToHeight="0" orientation="portrait" r:id="rId1"/>
  <rowBreaks count="2" manualBreakCount="2">
    <brk id="55" max="16383" man="1"/>
    <brk id="10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B269-B98C-464F-8C15-244E7AA6F56E}">
  <dimension ref="A1:AE80"/>
  <sheetViews>
    <sheetView workbookViewId="0">
      <selection activeCell="J7" sqref="J7"/>
    </sheetView>
  </sheetViews>
  <sheetFormatPr defaultColWidth="8.7109375" defaultRowHeight="12" x14ac:dyDescent="0.2"/>
  <cols>
    <col min="1" max="1" width="3.28515625" style="179" customWidth="1"/>
    <col min="2" max="2" width="59.85546875" style="179" bestFit="1" customWidth="1"/>
    <col min="3" max="3" width="12.85546875" style="179" customWidth="1"/>
    <col min="4" max="4" width="13" style="179" customWidth="1"/>
    <col min="5" max="5" width="11.42578125" style="179" customWidth="1"/>
    <col min="6" max="6" width="8.7109375" style="216"/>
    <col min="7" max="7" width="0" style="216" hidden="1" customWidth="1"/>
    <col min="8" max="21" width="8.7109375" style="216"/>
    <col min="22" max="16384" width="8.7109375" style="179"/>
  </cols>
  <sheetData>
    <row r="1" spans="1:31" s="217" customFormat="1" ht="15" customHeight="1" x14ac:dyDescent="0.25">
      <c r="A1" s="223" t="s">
        <v>775</v>
      </c>
      <c r="B1" s="223"/>
      <c r="C1" s="223"/>
      <c r="D1" s="224"/>
      <c r="E1" s="224"/>
      <c r="F1" s="215"/>
      <c r="G1" s="215"/>
      <c r="H1" s="215"/>
      <c r="I1" s="215"/>
      <c r="J1" s="215"/>
      <c r="K1" s="215"/>
      <c r="L1" s="215" t="s">
        <v>760</v>
      </c>
      <c r="M1" s="215" t="s">
        <v>770</v>
      </c>
      <c r="N1" s="215"/>
      <c r="O1" s="215"/>
      <c r="P1" s="215"/>
      <c r="Q1" s="215"/>
      <c r="R1" s="215"/>
      <c r="S1" s="215"/>
      <c r="T1" s="215"/>
      <c r="U1" s="215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3" customFormat="1" ht="15" customHeight="1" thickBot="1" x14ac:dyDescent="0.25">
      <c r="A2" s="288" t="s">
        <v>788</v>
      </c>
      <c r="B2" s="288"/>
      <c r="C2" s="288"/>
      <c r="D2" s="288"/>
      <c r="E2" s="288"/>
      <c r="F2" s="215"/>
      <c r="G2" s="215" t="s">
        <v>563</v>
      </c>
      <c r="H2" s="215"/>
      <c r="I2" s="215"/>
      <c r="J2" s="215"/>
      <c r="K2" s="215"/>
      <c r="L2" s="215" t="s">
        <v>761</v>
      </c>
      <c r="M2" s="215" t="s">
        <v>625</v>
      </c>
      <c r="N2" s="215"/>
      <c r="O2" s="215"/>
      <c r="P2" s="215"/>
      <c r="Q2" s="215"/>
      <c r="R2" s="215"/>
      <c r="S2" s="215"/>
      <c r="T2" s="215"/>
      <c r="U2" s="215"/>
    </row>
    <row r="3" spans="1:31" s="3" customFormat="1" ht="15" customHeight="1" thickBot="1" x14ac:dyDescent="0.25">
      <c r="A3" s="225"/>
      <c r="B3" s="226"/>
      <c r="C3" s="227"/>
      <c r="D3" s="227"/>
      <c r="E3" s="222">
        <f>'3 Year Summary'!E75</f>
        <v>84312</v>
      </c>
      <c r="F3" s="215"/>
      <c r="G3" s="215" t="s">
        <v>774</v>
      </c>
      <c r="H3" s="240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</row>
    <row r="4" spans="1:31" s="3" customFormat="1" ht="15" customHeight="1" thickBot="1" x14ac:dyDescent="0.25">
      <c r="A4" s="225">
        <v>1</v>
      </c>
      <c r="B4" s="226" t="s">
        <v>808</v>
      </c>
      <c r="C4" s="226"/>
      <c r="D4" s="227"/>
      <c r="E4" s="238" t="str">
        <f>IF(E3=0,"",IF(E3&lt;0,"Yes","No"))</f>
        <v>No</v>
      </c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</row>
    <row r="5" spans="1:31" s="3" customFormat="1" ht="15" customHeight="1" x14ac:dyDescent="0.2">
      <c r="A5" s="225"/>
      <c r="B5" s="226" t="s">
        <v>809</v>
      </c>
      <c r="C5" s="226"/>
      <c r="D5" s="227"/>
      <c r="E5" s="226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</row>
    <row r="6" spans="1:31" s="3" customFormat="1" ht="15" customHeight="1" thickBot="1" x14ac:dyDescent="0.25">
      <c r="A6" s="225"/>
      <c r="B6" s="226" t="s">
        <v>810</v>
      </c>
      <c r="C6" s="226"/>
      <c r="D6" s="227"/>
      <c r="E6" s="226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</row>
    <row r="7" spans="1:31" s="3" customFormat="1" ht="88.5" customHeight="1" thickBot="1" x14ac:dyDescent="0.25">
      <c r="A7" s="225"/>
      <c r="B7" s="290"/>
      <c r="C7" s="291"/>
      <c r="D7" s="291"/>
      <c r="E7" s="292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</row>
    <row r="8" spans="1:31" s="3" customFormat="1" ht="15" customHeight="1" x14ac:dyDescent="0.2">
      <c r="A8" s="225"/>
      <c r="B8" s="242" t="s">
        <v>811</v>
      </c>
      <c r="C8" s="241"/>
      <c r="D8" s="241"/>
      <c r="E8" s="241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</row>
    <row r="9" spans="1:31" s="3" customFormat="1" ht="15" customHeight="1" x14ac:dyDescent="0.2">
      <c r="A9" s="225"/>
      <c r="B9" s="242" t="s">
        <v>812</v>
      </c>
      <c r="C9" s="241"/>
      <c r="D9" s="241"/>
      <c r="E9" s="241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</row>
    <row r="10" spans="1:31" s="3" customFormat="1" ht="15" customHeight="1" thickBot="1" x14ac:dyDescent="0.25">
      <c r="A10" s="225"/>
      <c r="B10" s="242"/>
      <c r="C10" s="241"/>
      <c r="D10" s="241"/>
      <c r="E10" s="241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</row>
    <row r="11" spans="1:31" s="3" customFormat="1" ht="15" customHeight="1" thickBot="1" x14ac:dyDescent="0.25">
      <c r="A11" s="225">
        <v>2</v>
      </c>
      <c r="B11" s="226" t="s">
        <v>790</v>
      </c>
      <c r="C11" s="227"/>
      <c r="D11" s="227"/>
      <c r="E11" s="219" t="s">
        <v>761</v>
      </c>
      <c r="F11" s="218"/>
      <c r="G11" s="218"/>
      <c r="H11" s="218"/>
      <c r="I11" s="218"/>
      <c r="J11" s="218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 t="s">
        <v>625</v>
      </c>
    </row>
    <row r="12" spans="1:31" s="3" customFormat="1" ht="15" customHeight="1" thickBot="1" x14ac:dyDescent="0.25">
      <c r="A12" s="225"/>
      <c r="B12" s="226"/>
      <c r="C12" s="227"/>
      <c r="D12" s="227"/>
      <c r="E12" s="227"/>
      <c r="F12" s="218"/>
      <c r="G12" s="218"/>
      <c r="H12" s="218"/>
      <c r="I12" s="218"/>
      <c r="J12" s="218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</row>
    <row r="13" spans="1:31" s="3" customFormat="1" ht="15" customHeight="1" thickBot="1" x14ac:dyDescent="0.25">
      <c r="A13" s="225"/>
      <c r="B13" s="226" t="s">
        <v>806</v>
      </c>
      <c r="C13" s="226"/>
      <c r="D13" s="227"/>
      <c r="E13" s="219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</row>
    <row r="14" spans="1:31" s="3" customFormat="1" ht="15" customHeight="1" thickBot="1" x14ac:dyDescent="0.25">
      <c r="A14" s="225"/>
      <c r="B14" s="226" t="s">
        <v>781</v>
      </c>
      <c r="C14" s="226"/>
      <c r="D14" s="227"/>
      <c r="E14" s="228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</row>
    <row r="15" spans="1:31" s="3" customFormat="1" ht="15" customHeight="1" thickBot="1" x14ac:dyDescent="0.25">
      <c r="A15" s="225"/>
      <c r="B15" s="226" t="s">
        <v>779</v>
      </c>
      <c r="C15" s="226"/>
      <c r="D15" s="227"/>
      <c r="E15" s="221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</row>
    <row r="16" spans="1:31" s="3" customFormat="1" ht="15" customHeight="1" thickBot="1" x14ac:dyDescent="0.25">
      <c r="A16" s="225"/>
      <c r="B16" s="226" t="s">
        <v>780</v>
      </c>
      <c r="C16" s="226"/>
      <c r="D16" s="227"/>
      <c r="E16" s="221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</row>
    <row r="17" spans="1:31" s="3" customFormat="1" ht="8.1" customHeight="1" x14ac:dyDescent="0.2">
      <c r="A17" s="229"/>
      <c r="B17" s="230"/>
      <c r="C17" s="230"/>
      <c r="D17" s="227"/>
      <c r="E17" s="228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</row>
    <row r="18" spans="1:31" s="3" customFormat="1" ht="15" customHeight="1" thickBot="1" x14ac:dyDescent="0.25">
      <c r="A18" s="225">
        <v>3</v>
      </c>
      <c r="B18" s="226" t="s">
        <v>789</v>
      </c>
      <c r="C18" s="230"/>
      <c r="D18" s="227"/>
      <c r="E18" s="228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</row>
    <row r="19" spans="1:31" s="3" customFormat="1" ht="15" customHeight="1" thickBot="1" x14ac:dyDescent="0.25">
      <c r="A19" s="225"/>
      <c r="B19" s="226" t="s">
        <v>776</v>
      </c>
      <c r="C19" s="230"/>
      <c r="D19" s="227"/>
      <c r="E19" s="219" t="s">
        <v>761</v>
      </c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</row>
    <row r="20" spans="1:31" s="3" customFormat="1" ht="15" customHeight="1" thickBot="1" x14ac:dyDescent="0.25">
      <c r="A20" s="225"/>
      <c r="B20" s="226" t="s">
        <v>777</v>
      </c>
      <c r="C20" s="230"/>
      <c r="D20" s="227"/>
      <c r="E20" s="219" t="s">
        <v>761</v>
      </c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</row>
    <row r="21" spans="1:31" ht="15" customHeight="1" thickBot="1" x14ac:dyDescent="0.25">
      <c r="A21" s="231"/>
      <c r="B21" s="232"/>
      <c r="C21" s="232"/>
      <c r="D21" s="233"/>
      <c r="E21" s="234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15" customHeight="1" thickBot="1" x14ac:dyDescent="0.25">
      <c r="A22" s="235">
        <v>4</v>
      </c>
      <c r="B22" s="226" t="s">
        <v>791</v>
      </c>
      <c r="C22" s="232"/>
      <c r="D22" s="233"/>
      <c r="E22" s="219" t="s">
        <v>761</v>
      </c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5" customHeight="1" thickBot="1" x14ac:dyDescent="0.25">
      <c r="A23" s="235"/>
      <c r="B23" s="226" t="s">
        <v>792</v>
      </c>
      <c r="C23" s="232"/>
      <c r="D23" s="233"/>
      <c r="E23" s="232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41.45" customHeight="1" thickBot="1" x14ac:dyDescent="0.25">
      <c r="A24" s="231"/>
      <c r="B24" s="285"/>
      <c r="C24" s="286"/>
      <c r="D24" s="286"/>
      <c r="E24" s="287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15" customHeight="1" x14ac:dyDescent="0.2">
      <c r="A25" s="231"/>
      <c r="B25" s="232"/>
      <c r="C25" s="232"/>
      <c r="D25" s="233"/>
      <c r="E25" s="234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5" customHeight="1" x14ac:dyDescent="0.2">
      <c r="A26" s="235">
        <v>5</v>
      </c>
      <c r="B26" s="226" t="s">
        <v>783</v>
      </c>
      <c r="C26" s="232"/>
      <c r="D26" s="233"/>
      <c r="E26" s="234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15" customHeight="1" x14ac:dyDescent="0.2">
      <c r="A27" s="231"/>
      <c r="B27" s="226" t="s">
        <v>785</v>
      </c>
      <c r="C27" s="232"/>
      <c r="D27" s="233"/>
      <c r="E27" s="234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15" customHeight="1" x14ac:dyDescent="0.2">
      <c r="A28" s="231"/>
      <c r="B28" s="226" t="s">
        <v>798</v>
      </c>
      <c r="C28" s="232"/>
      <c r="D28" s="233"/>
      <c r="E28" s="234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s="3" customFormat="1" ht="15" customHeight="1" x14ac:dyDescent="0.2">
      <c r="A29" s="229"/>
      <c r="B29" s="226" t="s">
        <v>837</v>
      </c>
      <c r="C29" s="230"/>
      <c r="D29" s="227"/>
      <c r="E29" s="236"/>
      <c r="F29" s="218"/>
      <c r="G29" s="218"/>
      <c r="H29" s="218"/>
      <c r="I29" s="218"/>
      <c r="J29" s="218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</row>
    <row r="30" spans="1:31" s="3" customFormat="1" ht="15" customHeight="1" thickBot="1" x14ac:dyDescent="0.25">
      <c r="A30" s="229"/>
      <c r="B30" s="226" t="s">
        <v>691</v>
      </c>
      <c r="C30" s="230"/>
      <c r="D30" s="227"/>
      <c r="E30" s="236"/>
      <c r="F30" s="218"/>
      <c r="G30" s="218"/>
      <c r="H30" s="218"/>
      <c r="I30" s="218"/>
      <c r="J30" s="218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</row>
    <row r="31" spans="1:31" s="3" customFormat="1" ht="15" customHeight="1" thickBot="1" x14ac:dyDescent="0.25">
      <c r="A31" s="229"/>
      <c r="B31" s="226" t="s">
        <v>779</v>
      </c>
      <c r="C31" s="230"/>
      <c r="D31" s="227"/>
      <c r="E31" s="219" t="s">
        <v>770</v>
      </c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</row>
    <row r="32" spans="1:31" s="3" customFormat="1" ht="15" customHeight="1" thickBot="1" x14ac:dyDescent="0.25">
      <c r="A32" s="229"/>
      <c r="B32" s="226" t="s">
        <v>771</v>
      </c>
      <c r="C32" s="230"/>
      <c r="D32" s="227"/>
      <c r="E32" s="230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</row>
    <row r="33" spans="1:31" s="3" customFormat="1" ht="27" customHeight="1" thickBot="1" x14ac:dyDescent="0.25">
      <c r="A33" s="229"/>
      <c r="B33" s="289"/>
      <c r="C33" s="286"/>
      <c r="D33" s="286"/>
      <c r="E33" s="287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</row>
    <row r="34" spans="1:31" s="3" customFormat="1" ht="15" customHeight="1" thickBot="1" x14ac:dyDescent="0.25">
      <c r="A34" s="229"/>
      <c r="B34" s="229"/>
      <c r="C34" s="229"/>
      <c r="D34" s="229"/>
      <c r="E34" s="229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</row>
    <row r="35" spans="1:31" ht="15" customHeight="1" thickBot="1" x14ac:dyDescent="0.25">
      <c r="A35" s="232"/>
      <c r="B35" s="226" t="s">
        <v>780</v>
      </c>
      <c r="C35" s="230"/>
      <c r="D35" s="227"/>
      <c r="E35" s="219" t="s">
        <v>770</v>
      </c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5" customHeight="1" thickBot="1" x14ac:dyDescent="0.25">
      <c r="A36" s="232"/>
      <c r="B36" s="226" t="s">
        <v>771</v>
      </c>
      <c r="C36" s="230"/>
      <c r="D36" s="227"/>
      <c r="E36" s="230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27" customHeight="1" thickBot="1" x14ac:dyDescent="0.25">
      <c r="A37" s="232"/>
      <c r="B37" s="285"/>
      <c r="C37" s="286"/>
      <c r="D37" s="286"/>
      <c r="E37" s="287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5" customHeight="1" thickBot="1" x14ac:dyDescent="0.25">
      <c r="A38" s="232"/>
      <c r="B38" s="229"/>
      <c r="C38" s="229"/>
      <c r="D38" s="229"/>
      <c r="E38" s="229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s="3" customFormat="1" ht="15" customHeight="1" thickBot="1" x14ac:dyDescent="0.25">
      <c r="A39" s="229"/>
      <c r="B39" s="226" t="s">
        <v>782</v>
      </c>
      <c r="C39" s="230"/>
      <c r="D39" s="227"/>
      <c r="E39" s="219" t="s">
        <v>770</v>
      </c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</row>
    <row r="40" spans="1:31" s="3" customFormat="1" ht="15" customHeight="1" thickBot="1" x14ac:dyDescent="0.25">
      <c r="A40" s="229"/>
      <c r="B40" s="226" t="s">
        <v>771</v>
      </c>
      <c r="C40" s="230"/>
      <c r="D40" s="227"/>
      <c r="E40" s="230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</row>
    <row r="41" spans="1:31" s="3" customFormat="1" ht="32.1" customHeight="1" thickBot="1" x14ac:dyDescent="0.25">
      <c r="A41" s="229"/>
      <c r="B41" s="285"/>
      <c r="C41" s="286"/>
      <c r="D41" s="286"/>
      <c r="E41" s="287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</row>
    <row r="42" spans="1:31" s="3" customFormat="1" ht="15" customHeight="1" x14ac:dyDescent="0.2">
      <c r="A42" s="229"/>
      <c r="B42" s="229"/>
      <c r="C42" s="229"/>
      <c r="D42" s="229"/>
      <c r="E42" s="229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</row>
    <row r="43" spans="1:31" ht="15" customHeight="1" x14ac:dyDescent="0.2">
      <c r="A43" s="235">
        <v>5</v>
      </c>
      <c r="B43" s="226" t="s">
        <v>784</v>
      </c>
      <c r="C43" s="230"/>
      <c r="D43" s="227"/>
      <c r="E43" s="237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15" customHeight="1" thickBot="1" x14ac:dyDescent="0.25">
      <c r="A44" s="232"/>
      <c r="B44" s="226" t="s">
        <v>838</v>
      </c>
      <c r="C44" s="230"/>
      <c r="D44" s="227"/>
      <c r="E44" s="237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15"/>
      <c r="U44" s="215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15" customHeight="1" thickBot="1" x14ac:dyDescent="0.25">
      <c r="A45" s="232"/>
      <c r="B45" s="226" t="s">
        <v>839</v>
      </c>
      <c r="C45" s="230"/>
      <c r="D45" s="227"/>
      <c r="E45" s="219" t="s">
        <v>770</v>
      </c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5" customHeight="1" thickBot="1" x14ac:dyDescent="0.25">
      <c r="A46" s="232"/>
      <c r="B46" s="226" t="s">
        <v>771</v>
      </c>
      <c r="C46" s="230"/>
      <c r="D46" s="227"/>
      <c r="E46" s="230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39.950000000000003" customHeight="1" thickBot="1" x14ac:dyDescent="0.25">
      <c r="A47" s="232"/>
      <c r="B47" s="285"/>
      <c r="C47" s="286"/>
      <c r="D47" s="286"/>
      <c r="E47" s="287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17.100000000000001" customHeight="1" x14ac:dyDescent="0.2">
      <c r="A48" s="232"/>
      <c r="B48" s="232"/>
      <c r="C48" s="232"/>
      <c r="D48" s="232"/>
      <c r="E48" s="232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15" customHeight="1" thickBot="1" x14ac:dyDescent="0.25">
      <c r="A49" s="235">
        <v>6</v>
      </c>
      <c r="B49" s="226" t="s">
        <v>786</v>
      </c>
      <c r="C49" s="230"/>
      <c r="D49" s="227"/>
      <c r="E49" s="227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215"/>
      <c r="R49" s="215"/>
      <c r="S49" s="215"/>
      <c r="T49" s="215"/>
      <c r="U49" s="215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60" customHeight="1" thickBot="1" x14ac:dyDescent="0.25">
      <c r="A50" s="232"/>
      <c r="B50" s="285"/>
      <c r="C50" s="286"/>
      <c r="D50" s="286"/>
      <c r="E50" s="287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2.75" x14ac:dyDescent="0.2">
      <c r="F51" s="215"/>
      <c r="G51" s="215"/>
      <c r="H51" s="215"/>
      <c r="I51" s="215"/>
      <c r="J51" s="215"/>
      <c r="K51" s="215"/>
      <c r="L51" s="215"/>
      <c r="M51" s="215"/>
      <c r="N51" s="215"/>
      <c r="O51" s="215"/>
      <c r="P51" s="215"/>
      <c r="Q51" s="215"/>
      <c r="R51" s="215"/>
      <c r="S51" s="215"/>
      <c r="T51" s="215"/>
      <c r="U51" s="215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12.75" x14ac:dyDescent="0.2">
      <c r="F52" s="215"/>
      <c r="G52" s="215"/>
      <c r="H52" s="215"/>
      <c r="I52" s="215"/>
      <c r="J52" s="215"/>
      <c r="K52" s="215"/>
      <c r="L52" s="215"/>
      <c r="M52" s="215"/>
      <c r="N52" s="215"/>
      <c r="O52" s="215"/>
      <c r="P52" s="215"/>
      <c r="Q52" s="215"/>
      <c r="R52" s="215"/>
      <c r="S52" s="215"/>
      <c r="T52" s="215"/>
      <c r="U52" s="215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12.75" x14ac:dyDescent="0.2"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5"/>
      <c r="Q53" s="215"/>
      <c r="R53" s="215"/>
      <c r="S53" s="215"/>
      <c r="T53" s="215"/>
      <c r="U53" s="215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2.75" x14ac:dyDescent="0.2"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5"/>
      <c r="U54" s="215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2.75" x14ac:dyDescent="0.2"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12.75" x14ac:dyDescent="0.2"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12.75" x14ac:dyDescent="0.2"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12.75" x14ac:dyDescent="0.2"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12.75" x14ac:dyDescent="0.2"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12.75" x14ac:dyDescent="0.2"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2.75" x14ac:dyDescent="0.2"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12.75" x14ac:dyDescent="0.2"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12.75" x14ac:dyDescent="0.2"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12.75" x14ac:dyDescent="0.2"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6:31" ht="12.75" x14ac:dyDescent="0.2"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6:31" ht="12.75" x14ac:dyDescent="0.2"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6:31" ht="12.75" x14ac:dyDescent="0.2"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6:31" ht="12.75" x14ac:dyDescent="0.2"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6:31" ht="12.75" x14ac:dyDescent="0.2"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6:31" ht="12.75" x14ac:dyDescent="0.2"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6:31" ht="12.75" x14ac:dyDescent="0.2"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6:31" ht="12.75" x14ac:dyDescent="0.2"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6:31" ht="12.75" x14ac:dyDescent="0.2">
      <c r="F73" s="215"/>
      <c r="G73" s="215"/>
      <c r="H73" s="215"/>
      <c r="I73" s="215"/>
      <c r="J73" s="215"/>
      <c r="K73" s="215"/>
      <c r="L73" s="215"/>
      <c r="M73" s="215"/>
      <c r="N73" s="215"/>
      <c r="O73" s="215"/>
      <c r="P73" s="215"/>
      <c r="Q73" s="215"/>
      <c r="R73" s="215"/>
      <c r="S73" s="215"/>
      <c r="T73" s="215"/>
      <c r="U73" s="215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6:31" ht="12.75" x14ac:dyDescent="0.2">
      <c r="F74" s="215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15"/>
      <c r="S74" s="215"/>
      <c r="T74" s="215"/>
      <c r="U74" s="215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6:31" ht="12.75" x14ac:dyDescent="0.2"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5"/>
      <c r="R75" s="215"/>
      <c r="S75" s="215"/>
      <c r="T75" s="215"/>
      <c r="U75" s="215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6:31" ht="12.75" x14ac:dyDescent="0.2">
      <c r="F76" s="215"/>
      <c r="G76" s="215"/>
      <c r="H76" s="215"/>
      <c r="I76" s="215"/>
      <c r="J76" s="215"/>
      <c r="K76" s="215"/>
      <c r="L76" s="215"/>
      <c r="M76" s="215"/>
      <c r="N76" s="215"/>
      <c r="O76" s="215"/>
      <c r="P76" s="215"/>
      <c r="Q76" s="215"/>
      <c r="R76" s="215"/>
      <c r="S76" s="215"/>
      <c r="T76" s="215"/>
      <c r="U76" s="215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6:31" ht="12.75" x14ac:dyDescent="0.2">
      <c r="F77" s="215"/>
      <c r="G77" s="215"/>
      <c r="H77" s="215"/>
      <c r="I77" s="215"/>
      <c r="J77" s="215"/>
      <c r="K77" s="215"/>
      <c r="L77" s="215"/>
      <c r="M77" s="215"/>
      <c r="N77" s="215"/>
      <c r="O77" s="215"/>
      <c r="P77" s="215"/>
      <c r="Q77" s="215"/>
      <c r="R77" s="215"/>
      <c r="S77" s="215"/>
      <c r="T77" s="215"/>
      <c r="U77" s="215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6:31" ht="12.75" x14ac:dyDescent="0.2"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15"/>
      <c r="S78" s="215"/>
      <c r="T78" s="215"/>
      <c r="U78" s="215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6:31" ht="12.75" x14ac:dyDescent="0.2"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6:31" ht="12.75" x14ac:dyDescent="0.2">
      <c r="F80" s="215"/>
      <c r="G80" s="215"/>
      <c r="H80" s="215"/>
      <c r="I80" s="215"/>
      <c r="J80" s="215"/>
      <c r="K80" s="215"/>
      <c r="L80" s="215"/>
      <c r="M80" s="215"/>
      <c r="N80" s="215"/>
      <c r="O80" s="215"/>
      <c r="P80" s="215"/>
      <c r="Q80" s="215"/>
      <c r="R80" s="215"/>
      <c r="S80" s="215"/>
      <c r="T80" s="215"/>
      <c r="U80" s="215"/>
      <c r="V80" s="3"/>
      <c r="W80" s="3"/>
      <c r="X80" s="3"/>
      <c r="Y80" s="3"/>
      <c r="Z80" s="3"/>
      <c r="AA80" s="3"/>
      <c r="AB80" s="3"/>
      <c r="AC80" s="3"/>
      <c r="AD80" s="3"/>
      <c r="AE80" s="3"/>
    </row>
  </sheetData>
  <mergeCells count="8">
    <mergeCell ref="B24:E24"/>
    <mergeCell ref="A2:E2"/>
    <mergeCell ref="B41:E41"/>
    <mergeCell ref="B50:E50"/>
    <mergeCell ref="B37:E37"/>
    <mergeCell ref="B33:E33"/>
    <mergeCell ref="B47:E47"/>
    <mergeCell ref="B7:E7"/>
  </mergeCells>
  <phoneticPr fontId="45" type="noConversion"/>
  <dataValidations disablePrompts="1" count="2">
    <dataValidation type="list" allowBlank="1" showInputMessage="1" showErrorMessage="1" sqref="E11 E13 E19:E20 E22" xr:uid="{CDA31CF6-BDC7-4B8B-94D7-C24834CB4023}">
      <formula1>L$1:L$2</formula1>
    </dataValidation>
    <dataValidation type="list" allowBlank="1" showInputMessage="1" showErrorMessage="1" sqref="E31 E35 E39 E45" xr:uid="{3044BB31-CA80-4A41-A990-85CA6FB4A93E}">
      <formula1>$M$1:$M$2</formula1>
    </dataValidation>
  </dataValidations>
  <pageMargins left="0.19685039370078741" right="0.19685039370078741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B1:E230"/>
  <sheetViews>
    <sheetView zoomScaleNormal="100" workbookViewId="0">
      <pane xSplit="1" ySplit="6" topLeftCell="B7" activePane="bottomRight" state="frozen"/>
      <selection activeCell="B1" sqref="B1"/>
      <selection pane="topRight" activeCell="B1" sqref="B1"/>
      <selection pane="bottomLeft" activeCell="B1" sqref="B1"/>
      <selection pane="bottomRight" activeCell="D15" sqref="D15"/>
    </sheetView>
  </sheetViews>
  <sheetFormatPr defaultColWidth="9.140625" defaultRowHeight="12.75" x14ac:dyDescent="0.2"/>
  <cols>
    <col min="1" max="1" width="2.28515625" style="1" customWidth="1"/>
    <col min="2" max="2" width="6.5703125" style="6" customWidth="1"/>
    <col min="3" max="3" width="7.28515625" style="6" bestFit="1" customWidth="1"/>
    <col min="4" max="4" width="123.85546875" style="1" customWidth="1"/>
    <col min="5" max="16384" width="9.140625" style="1"/>
  </cols>
  <sheetData>
    <row r="1" spans="2:5" ht="15.75" x14ac:dyDescent="0.25">
      <c r="B1" s="256" t="str">
        <f>'School &amp; Other Info'!F4</f>
        <v>Nutfield Church CofE Primary School</v>
      </c>
      <c r="C1" s="256"/>
      <c r="D1" s="256"/>
      <c r="E1" s="1">
        <f>SUMPRODUCT(LEN($D$7:$D$138))</f>
        <v>0</v>
      </c>
    </row>
    <row r="2" spans="2:5" ht="8.25" customHeight="1" x14ac:dyDescent="0.2">
      <c r="B2" s="1"/>
      <c r="C2" s="1"/>
    </row>
    <row r="3" spans="2:5" ht="15.75" x14ac:dyDescent="0.25">
      <c r="B3" s="15" t="s">
        <v>358</v>
      </c>
    </row>
    <row r="4" spans="2:5" ht="15" x14ac:dyDescent="0.2">
      <c r="B4" s="16" t="s">
        <v>359</v>
      </c>
    </row>
    <row r="5" spans="2:5" ht="9.75" customHeight="1" x14ac:dyDescent="0.25">
      <c r="B5" s="15"/>
    </row>
    <row r="6" spans="2:5" x14ac:dyDescent="0.2">
      <c r="B6" s="19" t="s">
        <v>355</v>
      </c>
      <c r="C6" s="19" t="s">
        <v>357</v>
      </c>
      <c r="D6" s="18" t="s">
        <v>356</v>
      </c>
    </row>
    <row r="7" spans="2:5" x14ac:dyDescent="0.2">
      <c r="B7" s="17">
        <v>1</v>
      </c>
      <c r="C7" s="17" t="s">
        <v>511</v>
      </c>
      <c r="D7" s="13"/>
    </row>
    <row r="8" spans="2:5" x14ac:dyDescent="0.2">
      <c r="B8" s="17">
        <v>2</v>
      </c>
      <c r="C8" s="17" t="s">
        <v>541</v>
      </c>
      <c r="D8" s="13"/>
    </row>
    <row r="9" spans="2:5" x14ac:dyDescent="0.2">
      <c r="B9" s="17">
        <v>3</v>
      </c>
      <c r="C9" s="17" t="s">
        <v>542</v>
      </c>
      <c r="D9" s="13"/>
    </row>
    <row r="10" spans="2:5" x14ac:dyDescent="0.2">
      <c r="B10" s="17">
        <v>4</v>
      </c>
      <c r="C10" s="17" t="s">
        <v>0</v>
      </c>
      <c r="D10" s="13"/>
    </row>
    <row r="11" spans="2:5" x14ac:dyDescent="0.2">
      <c r="B11" s="17">
        <v>5</v>
      </c>
      <c r="C11" s="17" t="s">
        <v>0</v>
      </c>
      <c r="D11" s="13"/>
    </row>
    <row r="12" spans="2:5" x14ac:dyDescent="0.2">
      <c r="B12" s="17">
        <v>6</v>
      </c>
      <c r="C12" s="17" t="s">
        <v>0</v>
      </c>
      <c r="D12" s="14"/>
    </row>
    <row r="13" spans="2:5" x14ac:dyDescent="0.2">
      <c r="B13" s="17">
        <v>7</v>
      </c>
      <c r="C13" s="17" t="s">
        <v>0</v>
      </c>
      <c r="D13" s="13"/>
    </row>
    <row r="14" spans="2:5" x14ac:dyDescent="0.2">
      <c r="B14" s="17">
        <v>8</v>
      </c>
      <c r="C14" s="17" t="s">
        <v>0</v>
      </c>
      <c r="D14" s="13"/>
    </row>
    <row r="15" spans="2:5" x14ac:dyDescent="0.2">
      <c r="B15" s="17">
        <v>9</v>
      </c>
      <c r="C15" s="17" t="s">
        <v>0</v>
      </c>
      <c r="D15" s="13"/>
    </row>
    <row r="16" spans="2:5" x14ac:dyDescent="0.2">
      <c r="B16" s="17">
        <v>10</v>
      </c>
      <c r="C16" s="17" t="s">
        <v>0</v>
      </c>
      <c r="D16" s="13"/>
    </row>
    <row r="17" spans="2:4" x14ac:dyDescent="0.2">
      <c r="B17" s="17">
        <v>11</v>
      </c>
      <c r="C17" s="17" t="s">
        <v>0</v>
      </c>
      <c r="D17" s="13"/>
    </row>
    <row r="18" spans="2:4" x14ac:dyDescent="0.2">
      <c r="B18" s="17">
        <v>12</v>
      </c>
      <c r="C18" s="17" t="s">
        <v>0</v>
      </c>
      <c r="D18" s="14"/>
    </row>
    <row r="19" spans="2:4" x14ac:dyDescent="0.2">
      <c r="B19" s="17">
        <v>13</v>
      </c>
      <c r="C19" s="17" t="s">
        <v>0</v>
      </c>
      <c r="D19" s="13"/>
    </row>
    <row r="20" spans="2:4" x14ac:dyDescent="0.2">
      <c r="B20" s="17">
        <v>14</v>
      </c>
      <c r="C20" s="17" t="s">
        <v>0</v>
      </c>
      <c r="D20" s="14"/>
    </row>
    <row r="21" spans="2:4" x14ac:dyDescent="0.2">
      <c r="B21" s="17">
        <v>15</v>
      </c>
      <c r="C21" s="17" t="s">
        <v>0</v>
      </c>
      <c r="D21" s="13"/>
    </row>
    <row r="22" spans="2:4" x14ac:dyDescent="0.2">
      <c r="B22" s="17">
        <v>16</v>
      </c>
      <c r="C22" s="17" t="s">
        <v>0</v>
      </c>
      <c r="D22" s="13"/>
    </row>
    <row r="23" spans="2:4" x14ac:dyDescent="0.2">
      <c r="B23" s="17">
        <v>17</v>
      </c>
      <c r="C23" s="17" t="s">
        <v>0</v>
      </c>
      <c r="D23" s="13"/>
    </row>
    <row r="24" spans="2:4" x14ac:dyDescent="0.2">
      <c r="B24" s="17">
        <v>18</v>
      </c>
      <c r="C24" s="17" t="s">
        <v>0</v>
      </c>
      <c r="D24" s="13"/>
    </row>
    <row r="25" spans="2:4" x14ac:dyDescent="0.2">
      <c r="B25" s="17">
        <v>19</v>
      </c>
      <c r="C25" s="17" t="s">
        <v>0</v>
      </c>
      <c r="D25" s="13"/>
    </row>
    <row r="26" spans="2:4" x14ac:dyDescent="0.2">
      <c r="B26" s="17">
        <v>20</v>
      </c>
      <c r="C26" s="17" t="s">
        <v>0</v>
      </c>
      <c r="D26" s="14"/>
    </row>
    <row r="27" spans="2:4" x14ac:dyDescent="0.2">
      <c r="B27" s="17">
        <v>21</v>
      </c>
      <c r="C27" s="17" t="s">
        <v>0</v>
      </c>
      <c r="D27" s="14"/>
    </row>
    <row r="28" spans="2:4" x14ac:dyDescent="0.2">
      <c r="B28" s="17">
        <v>22</v>
      </c>
      <c r="C28" s="17" t="s">
        <v>1</v>
      </c>
      <c r="D28" s="14"/>
    </row>
    <row r="29" spans="2:4" x14ac:dyDescent="0.2">
      <c r="B29" s="17">
        <v>23</v>
      </c>
      <c r="C29" s="17" t="s">
        <v>1</v>
      </c>
      <c r="D29" s="14"/>
    </row>
    <row r="30" spans="2:4" x14ac:dyDescent="0.2">
      <c r="B30" s="17">
        <v>24</v>
      </c>
      <c r="C30" s="17" t="s">
        <v>2</v>
      </c>
      <c r="D30" s="14"/>
    </row>
    <row r="31" spans="2:4" x14ac:dyDescent="0.2">
      <c r="B31" s="17">
        <v>25</v>
      </c>
      <c r="C31" s="17" t="s">
        <v>2</v>
      </c>
      <c r="D31" s="14"/>
    </row>
    <row r="32" spans="2:4" x14ac:dyDescent="0.2">
      <c r="B32" s="17">
        <v>26</v>
      </c>
      <c r="C32" s="17" t="s">
        <v>2</v>
      </c>
      <c r="D32" s="14"/>
    </row>
    <row r="33" spans="2:4" x14ac:dyDescent="0.2">
      <c r="B33" s="17">
        <v>27</v>
      </c>
      <c r="C33" s="17" t="s">
        <v>2</v>
      </c>
      <c r="D33" s="14"/>
    </row>
    <row r="34" spans="2:4" x14ac:dyDescent="0.2">
      <c r="B34" s="17">
        <v>28</v>
      </c>
      <c r="C34" s="17" t="s">
        <v>565</v>
      </c>
      <c r="D34" s="14"/>
    </row>
    <row r="35" spans="2:4" x14ac:dyDescent="0.2">
      <c r="B35" s="17">
        <v>29</v>
      </c>
      <c r="C35" s="17" t="s">
        <v>565</v>
      </c>
      <c r="D35" s="14"/>
    </row>
    <row r="36" spans="2:4" x14ac:dyDescent="0.2">
      <c r="B36" s="17">
        <v>30</v>
      </c>
      <c r="C36" s="17" t="s">
        <v>70</v>
      </c>
      <c r="D36" s="14"/>
    </row>
    <row r="37" spans="2:4" x14ac:dyDescent="0.2">
      <c r="B37" s="17">
        <v>31</v>
      </c>
      <c r="C37" s="17" t="s">
        <v>70</v>
      </c>
      <c r="D37" s="14"/>
    </row>
    <row r="38" spans="2:4" x14ac:dyDescent="0.2">
      <c r="B38" s="17">
        <v>32</v>
      </c>
      <c r="C38" s="17" t="s">
        <v>70</v>
      </c>
      <c r="D38" s="14"/>
    </row>
    <row r="39" spans="2:4" x14ac:dyDescent="0.2">
      <c r="B39" s="17">
        <v>33</v>
      </c>
      <c r="C39" s="17" t="s">
        <v>70</v>
      </c>
      <c r="D39" s="14"/>
    </row>
    <row r="40" spans="2:4" x14ac:dyDescent="0.2">
      <c r="B40" s="17">
        <v>34</v>
      </c>
      <c r="C40" s="17" t="s">
        <v>70</v>
      </c>
      <c r="D40" s="14"/>
    </row>
    <row r="41" spans="2:4" x14ac:dyDescent="0.2">
      <c r="B41" s="17">
        <v>35</v>
      </c>
      <c r="C41" s="17" t="s">
        <v>3</v>
      </c>
      <c r="D41" s="14"/>
    </row>
    <row r="42" spans="2:4" x14ac:dyDescent="0.2">
      <c r="B42" s="17">
        <v>36</v>
      </c>
      <c r="C42" s="17" t="s">
        <v>3</v>
      </c>
      <c r="D42" s="14"/>
    </row>
    <row r="43" spans="2:4" x14ac:dyDescent="0.2">
      <c r="B43" s="17">
        <v>37</v>
      </c>
      <c r="C43" s="17" t="s">
        <v>4</v>
      </c>
      <c r="D43" s="14"/>
    </row>
    <row r="44" spans="2:4" x14ac:dyDescent="0.2">
      <c r="B44" s="17">
        <v>38</v>
      </c>
      <c r="C44" s="17" t="s">
        <v>535</v>
      </c>
      <c r="D44" s="14"/>
    </row>
    <row r="45" spans="2:4" x14ac:dyDescent="0.2">
      <c r="B45" s="17">
        <v>39</v>
      </c>
      <c r="C45" s="17" t="s">
        <v>534</v>
      </c>
      <c r="D45" s="14"/>
    </row>
    <row r="46" spans="2:4" x14ac:dyDescent="0.2">
      <c r="B46" s="17">
        <v>40</v>
      </c>
      <c r="C46" s="17" t="s">
        <v>534</v>
      </c>
      <c r="D46" s="14"/>
    </row>
    <row r="47" spans="2:4" x14ac:dyDescent="0.2">
      <c r="B47" s="17">
        <v>41</v>
      </c>
      <c r="C47" s="17" t="s">
        <v>820</v>
      </c>
      <c r="D47" s="14"/>
    </row>
    <row r="48" spans="2:4" x14ac:dyDescent="0.2">
      <c r="B48" s="17">
        <v>42</v>
      </c>
      <c r="C48" s="17" t="s">
        <v>5</v>
      </c>
      <c r="D48" s="14"/>
    </row>
    <row r="49" spans="2:4" x14ac:dyDescent="0.2">
      <c r="B49" s="17">
        <v>43</v>
      </c>
      <c r="C49" s="17" t="s">
        <v>6</v>
      </c>
      <c r="D49" s="14"/>
    </row>
    <row r="50" spans="2:4" x14ac:dyDescent="0.2">
      <c r="B50" s="17">
        <v>44</v>
      </c>
      <c r="C50" s="17" t="s">
        <v>7</v>
      </c>
      <c r="D50" s="14"/>
    </row>
    <row r="51" spans="2:4" x14ac:dyDescent="0.2">
      <c r="B51" s="17">
        <v>45</v>
      </c>
      <c r="C51" s="17" t="s">
        <v>8</v>
      </c>
      <c r="D51" s="14"/>
    </row>
    <row r="52" spans="2:4" x14ac:dyDescent="0.2">
      <c r="B52" s="17">
        <v>46</v>
      </c>
      <c r="C52" s="17" t="s">
        <v>9</v>
      </c>
      <c r="D52" s="14"/>
    </row>
    <row r="53" spans="2:4" x14ac:dyDescent="0.2">
      <c r="B53" s="17">
        <v>47</v>
      </c>
      <c r="C53" s="17" t="s">
        <v>63</v>
      </c>
      <c r="D53" s="13"/>
    </row>
    <row r="54" spans="2:4" x14ac:dyDescent="0.2">
      <c r="B54" s="17">
        <v>48</v>
      </c>
      <c r="C54" s="17" t="s">
        <v>72</v>
      </c>
      <c r="D54" s="13"/>
    </row>
    <row r="55" spans="2:4" x14ac:dyDescent="0.2">
      <c r="B55" s="17">
        <v>49</v>
      </c>
      <c r="C55" s="17" t="s">
        <v>72</v>
      </c>
      <c r="D55" s="13"/>
    </row>
    <row r="56" spans="2:4" x14ac:dyDescent="0.2">
      <c r="B56" s="17">
        <v>50</v>
      </c>
      <c r="C56" s="17" t="s">
        <v>72</v>
      </c>
      <c r="D56" s="14"/>
    </row>
    <row r="57" spans="2:4" x14ac:dyDescent="0.2">
      <c r="B57" s="17">
        <v>51</v>
      </c>
      <c r="C57" s="17" t="s">
        <v>72</v>
      </c>
      <c r="D57" s="13"/>
    </row>
    <row r="58" spans="2:4" x14ac:dyDescent="0.2">
      <c r="B58" s="17">
        <v>52</v>
      </c>
      <c r="C58" s="17" t="s">
        <v>72</v>
      </c>
      <c r="D58" s="13"/>
    </row>
    <row r="59" spans="2:4" x14ac:dyDescent="0.2">
      <c r="B59" s="17">
        <v>53</v>
      </c>
      <c r="C59" s="17" t="s">
        <v>11</v>
      </c>
      <c r="D59" s="13"/>
    </row>
    <row r="60" spans="2:4" x14ac:dyDescent="0.2">
      <c r="B60" s="17">
        <v>54</v>
      </c>
      <c r="C60" s="17" t="s">
        <v>12</v>
      </c>
      <c r="D60" s="13"/>
    </row>
    <row r="61" spans="2:4" x14ac:dyDescent="0.2">
      <c r="B61" s="17">
        <v>55</v>
      </c>
      <c r="C61" s="17" t="s">
        <v>13</v>
      </c>
      <c r="D61" s="13"/>
    </row>
    <row r="62" spans="2:4" x14ac:dyDescent="0.2">
      <c r="B62" s="17">
        <v>56</v>
      </c>
      <c r="C62" s="17" t="s">
        <v>14</v>
      </c>
      <c r="D62" s="14"/>
    </row>
    <row r="63" spans="2:4" x14ac:dyDescent="0.2">
      <c r="B63" s="17">
        <v>57</v>
      </c>
      <c r="C63" s="17" t="s">
        <v>15</v>
      </c>
      <c r="D63" s="13"/>
    </row>
    <row r="64" spans="2:4" x14ac:dyDescent="0.2">
      <c r="B64" s="17">
        <v>58</v>
      </c>
      <c r="C64" s="17" t="s">
        <v>16</v>
      </c>
      <c r="D64" s="14"/>
    </row>
    <row r="65" spans="2:4" x14ac:dyDescent="0.2">
      <c r="B65" s="17">
        <v>59</v>
      </c>
      <c r="C65" s="17" t="s">
        <v>17</v>
      </c>
      <c r="D65" s="13"/>
    </row>
    <row r="66" spans="2:4" x14ac:dyDescent="0.2">
      <c r="B66" s="17">
        <v>60</v>
      </c>
      <c r="C66" s="17" t="s">
        <v>18</v>
      </c>
      <c r="D66" s="13"/>
    </row>
    <row r="67" spans="2:4" x14ac:dyDescent="0.2">
      <c r="B67" s="17">
        <v>61</v>
      </c>
      <c r="C67" s="17" t="s">
        <v>19</v>
      </c>
      <c r="D67" s="13"/>
    </row>
    <row r="68" spans="2:4" x14ac:dyDescent="0.2">
      <c r="B68" s="17">
        <v>62</v>
      </c>
      <c r="C68" s="17" t="s">
        <v>20</v>
      </c>
      <c r="D68" s="13"/>
    </row>
    <row r="69" spans="2:4" x14ac:dyDescent="0.2">
      <c r="B69" s="17">
        <v>63</v>
      </c>
      <c r="C69" s="17" t="s">
        <v>21</v>
      </c>
      <c r="D69" s="13"/>
    </row>
    <row r="70" spans="2:4" x14ac:dyDescent="0.2">
      <c r="B70" s="17">
        <v>64</v>
      </c>
      <c r="C70" s="17" t="s">
        <v>22</v>
      </c>
      <c r="D70" s="13"/>
    </row>
    <row r="71" spans="2:4" x14ac:dyDescent="0.2">
      <c r="B71" s="17">
        <v>65</v>
      </c>
      <c r="C71" s="17" t="s">
        <v>23</v>
      </c>
      <c r="D71" s="13"/>
    </row>
    <row r="72" spans="2:4" x14ac:dyDescent="0.2">
      <c r="B72" s="17">
        <v>66</v>
      </c>
      <c r="C72" s="17" t="s">
        <v>24</v>
      </c>
      <c r="D72" s="13"/>
    </row>
    <row r="73" spans="2:4" x14ac:dyDescent="0.2">
      <c r="B73" s="17">
        <v>67</v>
      </c>
      <c r="C73" s="17" t="s">
        <v>25</v>
      </c>
      <c r="D73" s="13"/>
    </row>
    <row r="74" spans="2:4" x14ac:dyDescent="0.2">
      <c r="B74" s="17">
        <v>68</v>
      </c>
      <c r="C74" s="17" t="s">
        <v>26</v>
      </c>
      <c r="D74" s="14"/>
    </row>
    <row r="75" spans="2:4" x14ac:dyDescent="0.2">
      <c r="B75" s="17">
        <v>69</v>
      </c>
      <c r="C75" s="17" t="s">
        <v>27</v>
      </c>
      <c r="D75" s="13"/>
    </row>
    <row r="76" spans="2:4" x14ac:dyDescent="0.2">
      <c r="B76" s="17">
        <v>70</v>
      </c>
      <c r="C76" s="17" t="s">
        <v>28</v>
      </c>
      <c r="D76" s="13"/>
    </row>
    <row r="77" spans="2:4" x14ac:dyDescent="0.2">
      <c r="B77" s="17">
        <v>71</v>
      </c>
      <c r="C77" s="17" t="s">
        <v>29</v>
      </c>
      <c r="D77" s="13"/>
    </row>
    <row r="78" spans="2:4" x14ac:dyDescent="0.2">
      <c r="B78" s="17">
        <v>72</v>
      </c>
      <c r="C78" s="17" t="s">
        <v>30</v>
      </c>
      <c r="D78" s="13"/>
    </row>
    <row r="79" spans="2:4" x14ac:dyDescent="0.2">
      <c r="B79" s="17">
        <v>73</v>
      </c>
      <c r="C79" s="17" t="s">
        <v>31</v>
      </c>
      <c r="D79" s="13"/>
    </row>
    <row r="80" spans="2:4" x14ac:dyDescent="0.2">
      <c r="B80" s="17">
        <v>74</v>
      </c>
      <c r="C80" s="17" t="s">
        <v>32</v>
      </c>
      <c r="D80" s="13"/>
    </row>
    <row r="81" spans="2:4" x14ac:dyDescent="0.2">
      <c r="B81" s="17">
        <v>75</v>
      </c>
      <c r="C81" s="17" t="s">
        <v>33</v>
      </c>
      <c r="D81" s="13"/>
    </row>
    <row r="82" spans="2:4" x14ac:dyDescent="0.2">
      <c r="B82" s="17">
        <v>76</v>
      </c>
      <c r="C82" s="17" t="s">
        <v>34</v>
      </c>
      <c r="D82" s="13"/>
    </row>
    <row r="83" spans="2:4" x14ac:dyDescent="0.2">
      <c r="B83" s="17">
        <v>77</v>
      </c>
      <c r="C83" s="17" t="s">
        <v>35</v>
      </c>
      <c r="D83" s="13"/>
    </row>
    <row r="84" spans="2:4" x14ac:dyDescent="0.2">
      <c r="B84" s="17">
        <v>78</v>
      </c>
      <c r="C84" s="17" t="s">
        <v>36</v>
      </c>
      <c r="D84" s="13"/>
    </row>
    <row r="85" spans="2:4" x14ac:dyDescent="0.2">
      <c r="B85" s="17">
        <v>79</v>
      </c>
      <c r="C85" s="17" t="s">
        <v>37</v>
      </c>
      <c r="D85" s="13"/>
    </row>
    <row r="86" spans="2:4" x14ac:dyDescent="0.2">
      <c r="B86" s="17">
        <v>80</v>
      </c>
      <c r="C86" s="17" t="s">
        <v>38</v>
      </c>
      <c r="D86" s="13"/>
    </row>
    <row r="87" spans="2:4" x14ac:dyDescent="0.2">
      <c r="B87" s="17">
        <v>81</v>
      </c>
      <c r="C87" s="210" t="s">
        <v>39</v>
      </c>
      <c r="D87" s="13"/>
    </row>
    <row r="88" spans="2:4" x14ac:dyDescent="0.2">
      <c r="B88" s="17">
        <v>82</v>
      </c>
      <c r="C88" s="210" t="s">
        <v>53</v>
      </c>
      <c r="D88" s="14"/>
    </row>
    <row r="89" spans="2:4" x14ac:dyDescent="0.2">
      <c r="B89" s="17">
        <v>83</v>
      </c>
      <c r="C89" s="210" t="s">
        <v>54</v>
      </c>
      <c r="D89" s="14"/>
    </row>
    <row r="90" spans="2:4" x14ac:dyDescent="0.2">
      <c r="B90" s="17">
        <v>84</v>
      </c>
      <c r="C90" s="210" t="s">
        <v>512</v>
      </c>
      <c r="D90" s="14"/>
    </row>
    <row r="91" spans="2:4" x14ac:dyDescent="0.2">
      <c r="B91" s="17">
        <v>85</v>
      </c>
      <c r="C91" s="210" t="s">
        <v>540</v>
      </c>
      <c r="D91" s="14"/>
    </row>
    <row r="92" spans="2:4" x14ac:dyDescent="0.2">
      <c r="B92" s="17">
        <v>86</v>
      </c>
      <c r="C92" s="199" t="s">
        <v>64</v>
      </c>
      <c r="D92" s="14"/>
    </row>
    <row r="93" spans="2:4" x14ac:dyDescent="0.2">
      <c r="B93" s="17">
        <v>87</v>
      </c>
      <c r="C93" s="199" t="s">
        <v>64</v>
      </c>
      <c r="D93" s="14"/>
    </row>
    <row r="94" spans="2:4" x14ac:dyDescent="0.2">
      <c r="B94" s="17">
        <v>88</v>
      </c>
      <c r="C94" s="199" t="s">
        <v>64</v>
      </c>
      <c r="D94" s="14"/>
    </row>
    <row r="95" spans="2:4" x14ac:dyDescent="0.2">
      <c r="B95" s="17">
        <v>89</v>
      </c>
      <c r="C95" s="199" t="s">
        <v>64</v>
      </c>
      <c r="D95" s="14"/>
    </row>
    <row r="96" spans="2:4" x14ac:dyDescent="0.2">
      <c r="B96" s="17">
        <v>90</v>
      </c>
      <c r="C96" s="210" t="s">
        <v>64</v>
      </c>
      <c r="D96" s="14"/>
    </row>
    <row r="97" spans="2:4" x14ac:dyDescent="0.2">
      <c r="B97" s="17">
        <v>91</v>
      </c>
      <c r="C97" s="199" t="s">
        <v>66</v>
      </c>
      <c r="D97" s="14"/>
    </row>
    <row r="98" spans="2:4" x14ac:dyDescent="0.2">
      <c r="B98" s="17">
        <v>92</v>
      </c>
      <c r="C98" s="199" t="s">
        <v>66</v>
      </c>
      <c r="D98" s="14"/>
    </row>
    <row r="99" spans="2:4" x14ac:dyDescent="0.2">
      <c r="B99" s="17">
        <v>93</v>
      </c>
      <c r="C99" s="199" t="s">
        <v>66</v>
      </c>
      <c r="D99" s="14"/>
    </row>
    <row r="100" spans="2:4" x14ac:dyDescent="0.2">
      <c r="B100" s="17">
        <v>94</v>
      </c>
      <c r="C100" s="210" t="s">
        <v>66</v>
      </c>
      <c r="D100" s="14"/>
    </row>
    <row r="101" spans="2:4" x14ac:dyDescent="0.2">
      <c r="B101" s="17">
        <v>95</v>
      </c>
      <c r="C101" s="210" t="s">
        <v>61</v>
      </c>
      <c r="D101" s="14"/>
    </row>
    <row r="102" spans="2:4" x14ac:dyDescent="0.2">
      <c r="B102" s="17">
        <v>96</v>
      </c>
      <c r="C102" s="210" t="s">
        <v>61</v>
      </c>
      <c r="D102" s="14"/>
    </row>
    <row r="103" spans="2:4" x14ac:dyDescent="0.2">
      <c r="B103" s="17">
        <v>97</v>
      </c>
      <c r="C103" s="199" t="s">
        <v>62</v>
      </c>
      <c r="D103" s="14"/>
    </row>
    <row r="104" spans="2:4" x14ac:dyDescent="0.2">
      <c r="B104" s="17">
        <v>98</v>
      </c>
      <c r="C104" s="199" t="s">
        <v>62</v>
      </c>
      <c r="D104" s="14"/>
    </row>
    <row r="105" spans="2:4" x14ac:dyDescent="0.2">
      <c r="B105" s="17">
        <v>99</v>
      </c>
      <c r="C105" s="199" t="s">
        <v>62</v>
      </c>
      <c r="D105" s="14"/>
    </row>
    <row r="106" spans="2:4" x14ac:dyDescent="0.2">
      <c r="B106" s="17">
        <v>100</v>
      </c>
      <c r="C106" s="199" t="s">
        <v>62</v>
      </c>
      <c r="D106" s="14"/>
    </row>
    <row r="107" spans="2:4" x14ac:dyDescent="0.2">
      <c r="B107" s="17">
        <v>101</v>
      </c>
      <c r="C107" s="199" t="s">
        <v>62</v>
      </c>
      <c r="D107" s="14"/>
    </row>
    <row r="108" spans="2:4" x14ac:dyDescent="0.2">
      <c r="B108" s="17">
        <v>102</v>
      </c>
      <c r="C108" s="199" t="s">
        <v>62</v>
      </c>
      <c r="D108" s="14"/>
    </row>
    <row r="109" spans="2:4" x14ac:dyDescent="0.2">
      <c r="B109" s="17">
        <v>103</v>
      </c>
      <c r="C109" s="199" t="s">
        <v>62</v>
      </c>
      <c r="D109" s="14"/>
    </row>
    <row r="110" spans="2:4" x14ac:dyDescent="0.2">
      <c r="B110" s="17">
        <v>104</v>
      </c>
      <c r="C110" s="199" t="s">
        <v>62</v>
      </c>
      <c r="D110" s="14"/>
    </row>
    <row r="111" spans="2:4" x14ac:dyDescent="0.2">
      <c r="B111" s="17">
        <v>105</v>
      </c>
      <c r="C111" s="199" t="s">
        <v>62</v>
      </c>
      <c r="D111" s="14"/>
    </row>
    <row r="112" spans="2:4" x14ac:dyDescent="0.2">
      <c r="B112" s="17">
        <v>106</v>
      </c>
      <c r="C112" s="199" t="s">
        <v>62</v>
      </c>
      <c r="D112" s="14"/>
    </row>
    <row r="113" spans="2:4" x14ac:dyDescent="0.2">
      <c r="B113" s="17">
        <v>107</v>
      </c>
      <c r="C113" s="199" t="s">
        <v>62</v>
      </c>
      <c r="D113" s="14"/>
    </row>
    <row r="114" spans="2:4" x14ac:dyDescent="0.2">
      <c r="B114" s="17">
        <v>108</v>
      </c>
      <c r="C114" s="199" t="s">
        <v>62</v>
      </c>
      <c r="D114" s="14"/>
    </row>
    <row r="115" spans="2:4" x14ac:dyDescent="0.2">
      <c r="B115" s="17">
        <v>109</v>
      </c>
      <c r="C115" s="199" t="s">
        <v>62</v>
      </c>
      <c r="D115" s="14"/>
    </row>
    <row r="116" spans="2:4" x14ac:dyDescent="0.2">
      <c r="B116" s="17">
        <v>110</v>
      </c>
      <c r="C116" s="199" t="s">
        <v>62</v>
      </c>
      <c r="D116" s="14"/>
    </row>
    <row r="117" spans="2:4" x14ac:dyDescent="0.2">
      <c r="B117" s="17">
        <v>111</v>
      </c>
      <c r="C117" s="199" t="s">
        <v>62</v>
      </c>
      <c r="D117" s="14"/>
    </row>
    <row r="118" spans="2:4" x14ac:dyDescent="0.2">
      <c r="B118" s="17">
        <v>112</v>
      </c>
      <c r="C118" s="199" t="s">
        <v>62</v>
      </c>
      <c r="D118" s="14"/>
    </row>
    <row r="119" spans="2:4" x14ac:dyDescent="0.2">
      <c r="B119" s="17">
        <v>113</v>
      </c>
      <c r="C119" s="199" t="s">
        <v>62</v>
      </c>
      <c r="D119" s="14"/>
    </row>
    <row r="120" spans="2:4" x14ac:dyDescent="0.2">
      <c r="B120" s="17">
        <v>114</v>
      </c>
      <c r="C120" s="199" t="s">
        <v>62</v>
      </c>
      <c r="D120" s="14"/>
    </row>
    <row r="121" spans="2:4" x14ac:dyDescent="0.2">
      <c r="B121" s="17">
        <v>115</v>
      </c>
      <c r="C121" s="199" t="s">
        <v>62</v>
      </c>
      <c r="D121" s="14"/>
    </row>
    <row r="122" spans="2:4" x14ac:dyDescent="0.2">
      <c r="B122" s="17">
        <v>116</v>
      </c>
      <c r="C122" s="199" t="s">
        <v>62</v>
      </c>
      <c r="D122" s="14"/>
    </row>
    <row r="123" spans="2:4" x14ac:dyDescent="0.2">
      <c r="B123" s="17">
        <v>117</v>
      </c>
      <c r="C123" s="210" t="s">
        <v>62</v>
      </c>
      <c r="D123" s="14"/>
    </row>
    <row r="124" spans="2:4" x14ac:dyDescent="0.2">
      <c r="B124" s="17">
        <v>118</v>
      </c>
      <c r="C124" s="210" t="s">
        <v>65</v>
      </c>
      <c r="D124" s="14"/>
    </row>
    <row r="125" spans="2:4" x14ac:dyDescent="0.2">
      <c r="B125" s="17">
        <v>119</v>
      </c>
      <c r="C125" s="210" t="s">
        <v>543</v>
      </c>
      <c r="D125" s="13"/>
    </row>
    <row r="126" spans="2:4" x14ac:dyDescent="0.2">
      <c r="B126" s="17">
        <v>120</v>
      </c>
      <c r="C126" s="210" t="s">
        <v>544</v>
      </c>
      <c r="D126" s="13"/>
    </row>
    <row r="127" spans="2:4" x14ac:dyDescent="0.2">
      <c r="B127" s="17">
        <v>121</v>
      </c>
      <c r="C127" s="210" t="s">
        <v>43</v>
      </c>
      <c r="D127" s="13"/>
    </row>
    <row r="128" spans="2:4" x14ac:dyDescent="0.2">
      <c r="B128" s="17">
        <v>122</v>
      </c>
      <c r="C128" s="210" t="s">
        <v>43</v>
      </c>
      <c r="D128" s="13"/>
    </row>
    <row r="129" spans="2:4" x14ac:dyDescent="0.2">
      <c r="B129" s="17">
        <v>123</v>
      </c>
      <c r="C129" s="210" t="s">
        <v>44</v>
      </c>
      <c r="D129" s="13"/>
    </row>
    <row r="130" spans="2:4" x14ac:dyDescent="0.2">
      <c r="B130" s="17">
        <v>124</v>
      </c>
      <c r="C130" s="210" t="s">
        <v>45</v>
      </c>
      <c r="D130" s="13"/>
    </row>
    <row r="131" spans="2:4" x14ac:dyDescent="0.2">
      <c r="B131" s="17">
        <v>125</v>
      </c>
      <c r="C131" s="210" t="s">
        <v>46</v>
      </c>
      <c r="D131" s="13"/>
    </row>
    <row r="132" spans="2:4" x14ac:dyDescent="0.2">
      <c r="B132" s="17">
        <v>126</v>
      </c>
      <c r="C132" s="210" t="s">
        <v>48</v>
      </c>
      <c r="D132" s="13"/>
    </row>
    <row r="133" spans="2:4" x14ac:dyDescent="0.2">
      <c r="B133" s="17">
        <v>127</v>
      </c>
      <c r="C133" s="210" t="s">
        <v>50</v>
      </c>
      <c r="D133" s="13"/>
    </row>
    <row r="134" spans="2:4" x14ac:dyDescent="0.2">
      <c r="B134" s="17">
        <v>128</v>
      </c>
      <c r="C134" s="210" t="s">
        <v>51</v>
      </c>
      <c r="D134" s="13"/>
    </row>
    <row r="135" spans="2:4" x14ac:dyDescent="0.2">
      <c r="B135" s="17">
        <v>129</v>
      </c>
      <c r="C135" s="210" t="s">
        <v>55</v>
      </c>
      <c r="D135" s="13"/>
    </row>
    <row r="136" spans="2:4" x14ac:dyDescent="0.2">
      <c r="B136" s="17">
        <v>130</v>
      </c>
      <c r="C136" s="210" t="s">
        <v>56</v>
      </c>
      <c r="D136" s="13"/>
    </row>
    <row r="137" spans="2:4" x14ac:dyDescent="0.2">
      <c r="B137" s="2" t="s">
        <v>360</v>
      </c>
      <c r="C137" s="200"/>
    </row>
    <row r="138" spans="2:4" x14ac:dyDescent="0.2">
      <c r="B138" s="200"/>
      <c r="C138" s="200"/>
      <c r="D138" s="13"/>
    </row>
    <row r="139" spans="2:4" x14ac:dyDescent="0.2">
      <c r="B139" s="200"/>
      <c r="C139" s="200"/>
    </row>
    <row r="140" spans="2:4" x14ac:dyDescent="0.2">
      <c r="B140" s="200"/>
      <c r="C140" s="200"/>
    </row>
    <row r="141" spans="2:4" x14ac:dyDescent="0.2">
      <c r="B141" s="200"/>
      <c r="C141" s="200"/>
    </row>
    <row r="142" spans="2:4" x14ac:dyDescent="0.2">
      <c r="B142" s="200"/>
      <c r="C142" s="200"/>
    </row>
    <row r="143" spans="2:4" x14ac:dyDescent="0.2">
      <c r="B143" s="200"/>
      <c r="C143" s="200"/>
    </row>
    <row r="144" spans="2:4" x14ac:dyDescent="0.2">
      <c r="B144" s="200"/>
      <c r="C144" s="200"/>
    </row>
    <row r="145" spans="2:3" x14ac:dyDescent="0.2">
      <c r="B145" s="200"/>
      <c r="C145" s="200"/>
    </row>
    <row r="146" spans="2:3" x14ac:dyDescent="0.2">
      <c r="B146" s="200"/>
      <c r="C146" s="200"/>
    </row>
    <row r="147" spans="2:3" x14ac:dyDescent="0.2">
      <c r="B147" s="200"/>
      <c r="C147" s="200"/>
    </row>
    <row r="148" spans="2:3" x14ac:dyDescent="0.2">
      <c r="B148" s="200"/>
      <c r="C148" s="200"/>
    </row>
    <row r="149" spans="2:3" x14ac:dyDescent="0.2">
      <c r="B149" s="200"/>
      <c r="C149" s="200"/>
    </row>
    <row r="150" spans="2:3" x14ac:dyDescent="0.2">
      <c r="B150" s="200"/>
      <c r="C150" s="200"/>
    </row>
    <row r="151" spans="2:3" x14ac:dyDescent="0.2">
      <c r="B151" s="200"/>
      <c r="C151" s="200"/>
    </row>
    <row r="152" spans="2:3" x14ac:dyDescent="0.2">
      <c r="B152" s="200"/>
      <c r="C152" s="200"/>
    </row>
    <row r="153" spans="2:3" x14ac:dyDescent="0.2">
      <c r="B153" s="200"/>
      <c r="C153" s="200"/>
    </row>
    <row r="154" spans="2:3" x14ac:dyDescent="0.2">
      <c r="B154" s="200"/>
      <c r="C154" s="200"/>
    </row>
    <row r="155" spans="2:3" x14ac:dyDescent="0.2">
      <c r="B155" s="200"/>
      <c r="C155" s="200"/>
    </row>
    <row r="156" spans="2:3" x14ac:dyDescent="0.2">
      <c r="B156" s="200"/>
      <c r="C156" s="200"/>
    </row>
    <row r="157" spans="2:3" x14ac:dyDescent="0.2">
      <c r="B157" s="200"/>
      <c r="C157" s="200"/>
    </row>
    <row r="158" spans="2:3" x14ac:dyDescent="0.2">
      <c r="B158" s="200"/>
      <c r="C158" s="200"/>
    </row>
    <row r="159" spans="2:3" x14ac:dyDescent="0.2">
      <c r="B159" s="200"/>
      <c r="C159" s="200"/>
    </row>
    <row r="160" spans="2:3" x14ac:dyDescent="0.2">
      <c r="B160" s="200"/>
      <c r="C160" s="200"/>
    </row>
    <row r="161" spans="2:3" x14ac:dyDescent="0.2">
      <c r="B161" s="200"/>
      <c r="C161" s="200"/>
    </row>
    <row r="162" spans="2:3" x14ac:dyDescent="0.2">
      <c r="B162" s="200"/>
      <c r="C162" s="200"/>
    </row>
    <row r="163" spans="2:3" x14ac:dyDescent="0.2">
      <c r="B163" s="200"/>
      <c r="C163" s="200"/>
    </row>
    <row r="164" spans="2:3" x14ac:dyDescent="0.2">
      <c r="B164" s="200"/>
      <c r="C164" s="200"/>
    </row>
    <row r="165" spans="2:3" x14ac:dyDescent="0.2">
      <c r="B165" s="200"/>
      <c r="C165" s="200"/>
    </row>
    <row r="166" spans="2:3" x14ac:dyDescent="0.2">
      <c r="B166" s="200"/>
      <c r="C166" s="200"/>
    </row>
    <row r="167" spans="2:3" x14ac:dyDescent="0.2">
      <c r="B167" s="200"/>
      <c r="C167" s="200"/>
    </row>
    <row r="168" spans="2:3" x14ac:dyDescent="0.2">
      <c r="B168" s="200"/>
      <c r="C168" s="200"/>
    </row>
    <row r="169" spans="2:3" x14ac:dyDescent="0.2">
      <c r="B169" s="200"/>
      <c r="C169" s="200"/>
    </row>
    <row r="170" spans="2:3" x14ac:dyDescent="0.2">
      <c r="B170" s="200"/>
      <c r="C170" s="200"/>
    </row>
    <row r="171" spans="2:3" x14ac:dyDescent="0.2">
      <c r="B171" s="200"/>
      <c r="C171" s="200"/>
    </row>
    <row r="224" spans="2:3" x14ac:dyDescent="0.2">
      <c r="B224" s="200"/>
      <c r="C224" s="200"/>
    </row>
    <row r="225" spans="2:3" x14ac:dyDescent="0.2">
      <c r="B225" s="200"/>
      <c r="C225" s="200"/>
    </row>
    <row r="226" spans="2:3" x14ac:dyDescent="0.2">
      <c r="B226" s="200"/>
      <c r="C226" s="200"/>
    </row>
    <row r="227" spans="2:3" x14ac:dyDescent="0.2">
      <c r="B227" s="200"/>
      <c r="C227" s="200"/>
    </row>
    <row r="228" spans="2:3" x14ac:dyDescent="0.2">
      <c r="B228" s="200"/>
      <c r="C228" s="200"/>
    </row>
    <row r="229" spans="2:3" x14ac:dyDescent="0.2">
      <c r="B229" s="200"/>
      <c r="C229" s="200"/>
    </row>
    <row r="230" spans="2:3" x14ac:dyDescent="0.2">
      <c r="B230" s="200"/>
      <c r="C230" s="200"/>
    </row>
  </sheetData>
  <sheetProtection algorithmName="SHA-512" hashValue="f/KTa7MbuIziSMR36EkbqjVV+fmpB2VJMfhqa6eoiHKy05QRZb8fpXNvTDW8B3bvR6DA9kaXqnSDXvKRfiTe/g==" saltValue="fZnxVTvts81yFOncqnz2IA==" spinCount="100000" sheet="1" objects="1" scenarios="1"/>
  <sortState ref="B7:C230">
    <sortCondition ref="B7:B230"/>
  </sortState>
  <mergeCells count="1">
    <mergeCell ref="B1:D1"/>
  </mergeCells>
  <phoneticPr fontId="28" type="noConversion"/>
  <pageMargins left="0.47244094488188981" right="0.35433070866141736" top="0.16" bottom="0.14000000000000001" header="0.13" footer="0.1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25</vt:i4>
      </vt:variant>
    </vt:vector>
  </HeadingPairs>
  <TitlesOfParts>
    <vt:vector size="37" baseType="lpstr">
      <vt:lpstr>Introduction</vt:lpstr>
      <vt:lpstr>Current Year Outturn</vt:lpstr>
      <vt:lpstr>School &amp; Other Info</vt:lpstr>
      <vt:lpstr>Budget Plan Year 1</vt:lpstr>
      <vt:lpstr>Budget Plan Year 2</vt:lpstr>
      <vt:lpstr>Budget Plan Year 3</vt:lpstr>
      <vt:lpstr>3 Year Summary</vt:lpstr>
      <vt:lpstr>School's assumptions</vt:lpstr>
      <vt:lpstr>Notes</vt:lpstr>
      <vt:lpstr>Tranche Calculation</vt:lpstr>
      <vt:lpstr>setups</vt:lpstr>
      <vt:lpstr>lookups</vt:lpstr>
      <vt:lpstr>CFR_Yr1</vt:lpstr>
      <vt:lpstr>CFR_Yr2</vt:lpstr>
      <vt:lpstr>CFR_Yr3</vt:lpstr>
      <vt:lpstr>Exp_Yr1</vt:lpstr>
      <vt:lpstr>Exp_Yr2</vt:lpstr>
      <vt:lpstr>Exp_Yr3</vt:lpstr>
      <vt:lpstr>FINSUPP</vt:lpstr>
      <vt:lpstr>Pay_Type</vt:lpstr>
      <vt:lpstr>Post_type</vt:lpstr>
      <vt:lpstr>'3 Year Summary'!Print_Area</vt:lpstr>
      <vt:lpstr>'Budget Plan Year 1'!Print_Area</vt:lpstr>
      <vt:lpstr>'Budget Plan Year 2'!Print_Area</vt:lpstr>
      <vt:lpstr>'Budget Plan Year 3'!Print_Area</vt:lpstr>
      <vt:lpstr>Introduction!Print_Area</vt:lpstr>
      <vt:lpstr>Notes!Print_Area</vt:lpstr>
      <vt:lpstr>'School &amp; Other Info'!Print_Area</vt:lpstr>
      <vt:lpstr>'School''s assumptions'!Print_Area</vt:lpstr>
      <vt:lpstr>'3 Year Summary'!Print_Titles</vt:lpstr>
      <vt:lpstr>Notes!Print_Titles</vt:lpstr>
      <vt:lpstr>Sav_Date</vt:lpstr>
      <vt:lpstr>sch</vt:lpstr>
      <vt:lpstr>Title</vt:lpstr>
      <vt:lpstr>Yr1_Percent</vt:lpstr>
      <vt:lpstr>Yr2_Percent</vt:lpstr>
      <vt:lpstr>Yr3_Percent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School Business Manager</cp:lastModifiedBy>
  <cp:lastPrinted>2025-02-06T11:51:05Z</cp:lastPrinted>
  <dcterms:created xsi:type="dcterms:W3CDTF">2003-10-03T12:51:04Z</dcterms:created>
  <dcterms:modified xsi:type="dcterms:W3CDTF">2025-04-23T10:15:15Z</dcterms:modified>
</cp:coreProperties>
</file>